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alpha\personal$\Кузнецов_А\911\Рабочая папка\Ярлыки\Папка для временных документов\ХЛАМ\Калькуляторы\"/>
    </mc:Choice>
  </mc:AlternateContent>
  <xr:revisionPtr revIDLastSave="0" documentId="13_ncr:1_{66E5C191-EEF8-4F15-A6D5-FAFFDE22310B}" xr6:coauthVersionLast="47" xr6:coauthVersionMax="47" xr10:uidLastSave="{00000000-0000-0000-0000-000000000000}"/>
  <bookViews>
    <workbookView xWindow="28680" yWindow="-120" windowWidth="29040" windowHeight="15840" tabRatio="637" xr2:uid="{00000000-000D-0000-FFFF-FFFF00000000}"/>
  </bookViews>
  <sheets>
    <sheet name="Оглавление" sheetId="1" r:id="rId1"/>
    <sheet name="Т-профиль" sheetId="2" r:id="rId2"/>
    <sheet name="Кассетный потолок" sheetId="3" r:id="rId3"/>
    <sheet name="Грильято" sheetId="4" r:id="rId4"/>
    <sheet name="Грильято цинк" sheetId="7" r:id="rId5"/>
    <sheet name="Рейка" sheetId="5" r:id="rId6"/>
    <sheet name="Кубота" sheetId="6" r:id="rId7"/>
  </sheets>
  <externalReferences>
    <externalReference r:id="rId8"/>
  </externalReferences>
  <definedNames>
    <definedName name="_xlnm._FilterDatabase" localSheetId="3">Грильято!#REF!</definedName>
    <definedName name="_xlnm._FilterDatabase" localSheetId="2">'Кассетный потолок'!#REF!</definedName>
    <definedName name="_xlnm._FilterDatabase" localSheetId="5">Рейка!#REF!</definedName>
    <definedName name="_xlnm._FilterDatabase" localSheetId="1">'Т-профиль'!#REF!</definedName>
    <definedName name="QAQKW">'Кассетный потолок'!$L$37:$L$38</definedName>
    <definedName name="RWNFB">'Кассетный потолок'!$B$37:$B$41</definedName>
    <definedName name="высот">[1]Кубота!$B$41:$B$53</definedName>
    <definedName name="Материя">[1]Кубота!$B$63:$B$64</definedName>
    <definedName name="_xlnm.Print_Area" localSheetId="3">Грильято!$A$1:$X$75</definedName>
    <definedName name="_xlnm.Print_Area" localSheetId="2">'Кассетный потолок'!$A$1:$Y$77</definedName>
    <definedName name="_xlnm.Print_Area" localSheetId="0">Оглавление!$A$1:$C$25</definedName>
    <definedName name="_xlnm.Print_Area" localSheetId="5">Рейка!$A$1:$H$50</definedName>
    <definedName name="_xlnm.Print_Area" localSheetId="1">'Т-профиль'!$A$1:$H$74</definedName>
    <definedName name="расст">[1]Кубота!$E$41:$E$59</definedName>
    <definedName name="ширин">[1]Кубота!$I$41:$I$48</definedName>
    <definedName name="ячейка">Грильято!$B$37:$B$45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C17" i="2"/>
  <c r="E17" i="2" s="1"/>
  <c r="C16" i="2"/>
  <c r="E16" i="2" s="1"/>
  <c r="C15" i="2"/>
  <c r="E15" i="2" s="1"/>
  <c r="C14" i="2"/>
  <c r="E14" i="2" s="1"/>
  <c r="D13" i="2"/>
  <c r="D12" i="2"/>
  <c r="D11" i="2"/>
  <c r="D10" i="2"/>
  <c r="H37" i="2"/>
  <c r="L17" i="3"/>
  <c r="L16" i="3"/>
  <c r="D15" i="4"/>
  <c r="D14" i="4"/>
  <c r="H16" i="2" l="1"/>
  <c r="F16" i="2"/>
  <c r="H17" i="2"/>
  <c r="F17" i="2"/>
  <c r="H15" i="2"/>
  <c r="F15" i="2"/>
  <c r="H14" i="2"/>
  <c r="F14" i="2"/>
  <c r="F15" i="4"/>
  <c r="H15" i="4"/>
  <c r="C115" i="6"/>
  <c r="B118" i="6" s="1"/>
  <c r="C16" i="6" s="1"/>
  <c r="B115" i="6"/>
  <c r="C15" i="6"/>
  <c r="B109" i="6" s="1"/>
  <c r="C14" i="6" s="1"/>
  <c r="D17" i="5"/>
  <c r="C17" i="5" s="1"/>
  <c r="E17" i="5" s="1"/>
  <c r="B16" i="5"/>
  <c r="C15" i="5"/>
  <c r="E15" i="5" s="1"/>
  <c r="F15" i="5" s="1"/>
  <c r="D14" i="5"/>
  <c r="C14" i="5" s="1"/>
  <c r="E14" i="5" s="1"/>
  <c r="D13" i="5"/>
  <c r="C13" i="5" s="1"/>
  <c r="E13" i="5" s="1"/>
  <c r="L18" i="7"/>
  <c r="K18" i="7" s="1"/>
  <c r="M18" i="7" s="1"/>
  <c r="D18" i="7"/>
  <c r="C18" i="7" s="1"/>
  <c r="E18" i="7" s="1"/>
  <c r="L17" i="7"/>
  <c r="K17" i="7" s="1"/>
  <c r="D17" i="7"/>
  <c r="E17" i="7" s="1"/>
  <c r="F17" i="7" s="1"/>
  <c r="L16" i="7"/>
  <c r="K16" i="7" s="1"/>
  <c r="M16" i="7" s="1"/>
  <c r="D16" i="7"/>
  <c r="L15" i="7"/>
  <c r="K15" i="7" s="1"/>
  <c r="M15" i="7" s="1"/>
  <c r="D15" i="7"/>
  <c r="L14" i="7"/>
  <c r="K14" i="7" s="1"/>
  <c r="M14" i="7" s="1"/>
  <c r="D14" i="7"/>
  <c r="C14" i="7" s="1"/>
  <c r="E14" i="7" s="1"/>
  <c r="L13" i="7"/>
  <c r="K13" i="7" s="1"/>
  <c r="M13" i="7" s="1"/>
  <c r="D13" i="7"/>
  <c r="C13" i="7" s="1"/>
  <c r="E13" i="7" s="1"/>
  <c r="L12" i="7"/>
  <c r="K12" i="7" s="1"/>
  <c r="M12" i="7" s="1"/>
  <c r="D12" i="7"/>
  <c r="C12" i="7" s="1"/>
  <c r="E12" i="7" s="1"/>
  <c r="F12" i="7" s="1"/>
  <c r="L11" i="7"/>
  <c r="K11" i="7" s="1"/>
  <c r="D11" i="7"/>
  <c r="T19" i="4"/>
  <c r="S19" i="4" s="1"/>
  <c r="U19" i="4" s="1"/>
  <c r="T18" i="4"/>
  <c r="S18" i="4" s="1"/>
  <c r="L18" i="4"/>
  <c r="K18" i="4" s="1"/>
  <c r="M18" i="4" s="1"/>
  <c r="D18" i="4"/>
  <c r="C18" i="4" s="1"/>
  <c r="E18" i="4" s="1"/>
  <c r="T17" i="4"/>
  <c r="S17" i="4" s="1"/>
  <c r="U17" i="4" s="1"/>
  <c r="L17" i="4"/>
  <c r="K17" i="4" s="1"/>
  <c r="D17" i="4"/>
  <c r="E17" i="4" s="1"/>
  <c r="T16" i="4"/>
  <c r="S16" i="4" s="1"/>
  <c r="U16" i="4" s="1"/>
  <c r="L16" i="4"/>
  <c r="K16" i="4" s="1"/>
  <c r="M16" i="4" s="1"/>
  <c r="D16" i="4"/>
  <c r="T15" i="4"/>
  <c r="S15" i="4" s="1"/>
  <c r="U15" i="4" s="1"/>
  <c r="L15" i="4"/>
  <c r="K15" i="4" s="1"/>
  <c r="M15" i="4" s="1"/>
  <c r="C15" i="4"/>
  <c r="C16" i="4" s="1"/>
  <c r="T14" i="4"/>
  <c r="S14" i="4" s="1"/>
  <c r="U14" i="4" s="1"/>
  <c r="L14" i="4"/>
  <c r="K14" i="4" s="1"/>
  <c r="M14" i="4" s="1"/>
  <c r="O14" i="4" s="1"/>
  <c r="C14" i="4"/>
  <c r="T13" i="4"/>
  <c r="S13" i="4" s="1"/>
  <c r="U13" i="4" s="1"/>
  <c r="W13" i="4" s="1"/>
  <c r="L13" i="4"/>
  <c r="K13" i="4" s="1"/>
  <c r="M13" i="4" s="1"/>
  <c r="O13" i="4" s="1"/>
  <c r="D13" i="4"/>
  <c r="C13" i="4" s="1"/>
  <c r="E13" i="4" s="1"/>
  <c r="G13" i="4" s="1"/>
  <c r="T12" i="4"/>
  <c r="S12" i="4" s="1"/>
  <c r="U12" i="4" s="1"/>
  <c r="W12" i="4" s="1"/>
  <c r="L12" i="4"/>
  <c r="K12" i="4" s="1"/>
  <c r="M12" i="4" s="1"/>
  <c r="O12" i="4" s="1"/>
  <c r="D12" i="4"/>
  <c r="T11" i="4"/>
  <c r="L11" i="4"/>
  <c r="D11" i="4"/>
  <c r="C11" i="4" s="1"/>
  <c r="I41" i="3"/>
  <c r="I40" i="3"/>
  <c r="C18" i="3" s="1"/>
  <c r="E18" i="3" s="1"/>
  <c r="I39" i="3"/>
  <c r="S38" i="3"/>
  <c r="I38" i="3"/>
  <c r="S37" i="3"/>
  <c r="C19" i="3"/>
  <c r="E19" i="3" s="1"/>
  <c r="L18" i="3"/>
  <c r="M18" i="3" s="1"/>
  <c r="M16" i="3"/>
  <c r="C16" i="3"/>
  <c r="E16" i="3" s="1"/>
  <c r="N15" i="3"/>
  <c r="M15" i="3" s="1"/>
  <c r="O15" i="3" s="1"/>
  <c r="D15" i="3"/>
  <c r="C15" i="3" s="1"/>
  <c r="E15" i="3" s="1"/>
  <c r="M14" i="3"/>
  <c r="O14" i="3" s="1"/>
  <c r="R14" i="3" s="1"/>
  <c r="D14" i="3"/>
  <c r="C14" i="3" s="1"/>
  <c r="E14" i="3" s="1"/>
  <c r="M13" i="3"/>
  <c r="O13" i="3" s="1"/>
  <c r="D13" i="3"/>
  <c r="C13" i="3" s="1"/>
  <c r="E13" i="3" s="1"/>
  <c r="N12" i="3"/>
  <c r="D12" i="3"/>
  <c r="M11" i="3"/>
  <c r="O11" i="3" s="1"/>
  <c r="P11" i="3" s="1"/>
  <c r="C11" i="3"/>
  <c r="E11" i="3" s="1"/>
  <c r="J3" i="3"/>
  <c r="H41" i="2"/>
  <c r="H40" i="2"/>
  <c r="H39" i="2"/>
  <c r="H38" i="2"/>
  <c r="C13" i="2"/>
  <c r="E13" i="2" s="1"/>
  <c r="C12" i="2"/>
  <c r="E12" i="2" s="1"/>
  <c r="C11" i="2"/>
  <c r="E11" i="2" s="1"/>
  <c r="C10" i="2"/>
  <c r="E10" i="2" s="1"/>
  <c r="H12" i="2" l="1"/>
  <c r="F12" i="2"/>
  <c r="H10" i="2"/>
  <c r="F10" i="2"/>
  <c r="H11" i="2"/>
  <c r="F11" i="2"/>
  <c r="H13" i="2"/>
  <c r="F13" i="2"/>
  <c r="N16" i="3"/>
  <c r="M17" i="3" s="1"/>
  <c r="N18" i="3"/>
  <c r="C16" i="5"/>
  <c r="E16" i="5" s="1"/>
  <c r="D16" i="5"/>
  <c r="M17" i="4"/>
  <c r="U18" i="4"/>
  <c r="X18" i="4" s="1"/>
  <c r="R13" i="3"/>
  <c r="P13" i="3"/>
  <c r="H11" i="3"/>
  <c r="G11" i="3"/>
  <c r="F11" i="3"/>
  <c r="D20" i="3"/>
  <c r="E18" i="2"/>
  <c r="G10" i="2"/>
  <c r="H14" i="3"/>
  <c r="F14" i="3"/>
  <c r="G14" i="3"/>
  <c r="G11" i="2"/>
  <c r="R15" i="3"/>
  <c r="Q15" i="3"/>
  <c r="P15" i="3"/>
  <c r="G13" i="2"/>
  <c r="F18" i="3"/>
  <c r="H18" i="3"/>
  <c r="G16" i="3"/>
  <c r="F16" i="3"/>
  <c r="H16" i="3"/>
  <c r="G12" i="2"/>
  <c r="G13" i="3"/>
  <c r="H13" i="3"/>
  <c r="F13" i="3"/>
  <c r="F15" i="3"/>
  <c r="G15" i="3"/>
  <c r="H15" i="3"/>
  <c r="H19" i="3"/>
  <c r="F19" i="3"/>
  <c r="G14" i="2"/>
  <c r="Q11" i="3"/>
  <c r="M12" i="3"/>
  <c r="P14" i="3"/>
  <c r="O18" i="3"/>
  <c r="R18" i="3" s="1"/>
  <c r="O17" i="4"/>
  <c r="V18" i="4"/>
  <c r="M17" i="7"/>
  <c r="G17" i="2"/>
  <c r="R11" i="3"/>
  <c r="Q14" i="3"/>
  <c r="W18" i="4"/>
  <c r="C12" i="3"/>
  <c r="G17" i="5"/>
  <c r="F17" i="5"/>
  <c r="F14" i="5"/>
  <c r="G14" i="5"/>
  <c r="G13" i="5"/>
  <c r="F13" i="5"/>
  <c r="G15" i="5"/>
  <c r="N14" i="4"/>
  <c r="N12" i="4"/>
  <c r="D19" i="7"/>
  <c r="C17" i="7"/>
  <c r="C15" i="7"/>
  <c r="E15" i="7" s="1"/>
  <c r="V13" i="4"/>
  <c r="N12" i="7"/>
  <c r="O12" i="7"/>
  <c r="N14" i="7"/>
  <c r="O14" i="7"/>
  <c r="K19" i="7"/>
  <c r="M11" i="7"/>
  <c r="O13" i="7"/>
  <c r="N13" i="7"/>
  <c r="O15" i="7"/>
  <c r="N15" i="7"/>
  <c r="O16" i="7"/>
  <c r="N16" i="7"/>
  <c r="N18" i="7"/>
  <c r="O18" i="7"/>
  <c r="L19" i="7"/>
  <c r="C11" i="7"/>
  <c r="E11" i="7" s="1"/>
  <c r="G12" i="7"/>
  <c r="F14" i="7"/>
  <c r="G14" i="7"/>
  <c r="F18" i="7"/>
  <c r="G18" i="7"/>
  <c r="F13" i="7"/>
  <c r="G13" i="7"/>
  <c r="G17" i="7"/>
  <c r="H13" i="4"/>
  <c r="C12" i="4"/>
  <c r="E12" i="4" s="1"/>
  <c r="H12" i="4" s="1"/>
  <c r="E14" i="4"/>
  <c r="F14" i="4" s="1"/>
  <c r="G17" i="4"/>
  <c r="H17" i="4"/>
  <c r="F17" i="4"/>
  <c r="F13" i="4"/>
  <c r="C17" i="4"/>
  <c r="K11" i="4"/>
  <c r="L19" i="4"/>
  <c r="X12" i="4"/>
  <c r="P13" i="4"/>
  <c r="W14" i="4"/>
  <c r="X14" i="4"/>
  <c r="V14" i="4"/>
  <c r="O15" i="4"/>
  <c r="P15" i="4"/>
  <c r="N15" i="4"/>
  <c r="W16" i="4"/>
  <c r="X16" i="4"/>
  <c r="V16" i="4"/>
  <c r="G18" i="4"/>
  <c r="H18" i="4"/>
  <c r="F18" i="4"/>
  <c r="X19" i="4"/>
  <c r="V19" i="4"/>
  <c r="D19" i="4"/>
  <c r="S11" i="4"/>
  <c r="T20" i="4"/>
  <c r="P12" i="4"/>
  <c r="V12" i="4"/>
  <c r="N13" i="4"/>
  <c r="X13" i="4"/>
  <c r="P14" i="4"/>
  <c r="W15" i="4"/>
  <c r="X15" i="4"/>
  <c r="V15" i="4"/>
  <c r="O16" i="4"/>
  <c r="P16" i="4"/>
  <c r="N16" i="4"/>
  <c r="W19" i="4"/>
  <c r="W17" i="4"/>
  <c r="X17" i="4"/>
  <c r="V17" i="4"/>
  <c r="O18" i="4"/>
  <c r="P18" i="4"/>
  <c r="N18" i="4"/>
  <c r="N19" i="3" l="1"/>
  <c r="O16" i="3"/>
  <c r="R16" i="3" s="1"/>
  <c r="F16" i="5"/>
  <c r="F18" i="5" s="1"/>
  <c r="G16" i="5"/>
  <c r="G18" i="5" s="1"/>
  <c r="E18" i="5"/>
  <c r="P17" i="4"/>
  <c r="N17" i="4"/>
  <c r="F18" i="2"/>
  <c r="C16" i="7"/>
  <c r="C19" i="7" s="1"/>
  <c r="P18" i="3"/>
  <c r="C20" i="3"/>
  <c r="E12" i="3"/>
  <c r="G18" i="2"/>
  <c r="O17" i="7"/>
  <c r="N17" i="7"/>
  <c r="O12" i="3"/>
  <c r="Q12" i="3"/>
  <c r="M19" i="3"/>
  <c r="H18" i="2"/>
  <c r="M19" i="7"/>
  <c r="O11" i="7"/>
  <c r="O19" i="7" s="1"/>
  <c r="N11" i="7"/>
  <c r="F11" i="7"/>
  <c r="F19" i="7" s="1"/>
  <c r="E19" i="7"/>
  <c r="G11" i="7"/>
  <c r="G19" i="7" s="1"/>
  <c r="G14" i="4"/>
  <c r="H14" i="4"/>
  <c r="G12" i="4"/>
  <c r="F12" i="4"/>
  <c r="S20" i="4"/>
  <c r="U11" i="4"/>
  <c r="C19" i="4"/>
  <c r="E11" i="4"/>
  <c r="F11" i="4" s="1"/>
  <c r="K19" i="4"/>
  <c r="M11" i="4"/>
  <c r="P11" i="4" s="1"/>
  <c r="P16" i="3" l="1"/>
  <c r="Q16" i="3" s="1"/>
  <c r="Q19" i="3" s="1"/>
  <c r="N19" i="7"/>
  <c r="G12" i="3"/>
  <c r="G20" i="3" s="1"/>
  <c r="F12" i="3"/>
  <c r="F20" i="3" s="1"/>
  <c r="E20" i="3"/>
  <c r="H12" i="3"/>
  <c r="H20" i="3" s="1"/>
  <c r="R12" i="3"/>
  <c r="R19" i="3" s="1"/>
  <c r="P12" i="3"/>
  <c r="O19" i="3"/>
  <c r="H11" i="4"/>
  <c r="H19" i="4" s="1"/>
  <c r="M19" i="4"/>
  <c r="O11" i="4"/>
  <c r="O19" i="4" s="1"/>
  <c r="N11" i="4"/>
  <c r="N19" i="4" s="1"/>
  <c r="P19" i="4"/>
  <c r="E19" i="4"/>
  <c r="G11" i="4"/>
  <c r="G19" i="4" s="1"/>
  <c r="F19" i="4"/>
  <c r="U20" i="4"/>
  <c r="W11" i="4"/>
  <c r="W20" i="4" s="1"/>
  <c r="X11" i="4"/>
  <c r="X20" i="4" s="1"/>
  <c r="V11" i="4"/>
  <c r="V20" i="4" s="1"/>
  <c r="P19" i="3" l="1"/>
</calcChain>
</file>

<file path=xl/sharedStrings.xml><?xml version="1.0" encoding="utf-8"?>
<sst xmlns="http://schemas.openxmlformats.org/spreadsheetml/2006/main" count="709" uniqueCount="168">
  <si>
    <t>Оглавление</t>
  </si>
  <si>
    <t>Подвесная система</t>
  </si>
  <si>
    <t>Кассетный потолок</t>
  </si>
  <si>
    <t>Открытий тип</t>
  </si>
  <si>
    <t>Закрытый тип простой монтаж</t>
  </si>
  <si>
    <t>Закрытый тип усиленный монтаж</t>
  </si>
  <si>
    <t>Грильято</t>
  </si>
  <si>
    <t>Грильято Стандарт</t>
  </si>
  <si>
    <t>Грильято GL15</t>
  </si>
  <si>
    <t>Грильято GL15 Jalusi</t>
  </si>
  <si>
    <t>Реечный потолок</t>
  </si>
  <si>
    <t>Подвесная система Grand Line</t>
  </si>
  <si>
    <t>Тип Т-профиля</t>
  </si>
  <si>
    <t>выбрать из списка</t>
  </si>
  <si>
    <r>
      <rPr>
        <sz val="10"/>
        <color rgb="FF000000"/>
        <rFont val="Arial"/>
        <charset val="204"/>
      </rPr>
      <t>S потолка, м</t>
    </r>
    <r>
      <rPr>
        <vertAlign val="superscript"/>
        <sz val="10"/>
        <color rgb="FF000000"/>
        <rFont val="Arial"/>
        <charset val="204"/>
      </rPr>
      <t>2</t>
    </r>
  </si>
  <si>
    <t>проставить значение</t>
  </si>
  <si>
    <t>Наименование</t>
  </si>
  <si>
    <t>Количество</t>
  </si>
  <si>
    <t>Масса брутто</t>
  </si>
  <si>
    <t>Кол-во
палет</t>
  </si>
  <si>
    <t>Объем</t>
  </si>
  <si>
    <t>шт.</t>
  </si>
  <si>
    <t>м.п.</t>
  </si>
  <si>
    <t>кор.</t>
  </si>
  <si>
    <t>кг.</t>
  </si>
  <si>
    <t>куб.м.</t>
  </si>
  <si>
    <t>Т-профиль 3600</t>
  </si>
  <si>
    <t>Т-профиль 1200</t>
  </si>
  <si>
    <t>Т-профиль 600</t>
  </si>
  <si>
    <t>Угол пристенный 19*19</t>
  </si>
  <si>
    <t>Подвес</t>
  </si>
  <si>
    <t>-</t>
  </si>
  <si>
    <t>Анкер-клин</t>
  </si>
  <si>
    <t>Светильник 600*600</t>
  </si>
  <si>
    <t>Плита потолочная</t>
  </si>
  <si>
    <t>Итого:</t>
  </si>
  <si>
    <t>Заявка на Т-профиль размещается в м.п. кратно коробкам</t>
  </si>
  <si>
    <t>расход на 1м2</t>
  </si>
  <si>
    <t>тип</t>
  </si>
  <si>
    <t>Т-600</t>
  </si>
  <si>
    <t>Т-1200</t>
  </si>
  <si>
    <t>Т-3600</t>
  </si>
  <si>
    <t>подвес</t>
  </si>
  <si>
    <t>Угол пристен
 19*19</t>
  </si>
  <si>
    <t>Анкер
клин</t>
  </si>
  <si>
    <t>Количество шт. в коробке</t>
  </si>
  <si>
    <t>Масса коробки, кг</t>
  </si>
  <si>
    <t>Объем коробки, м3</t>
  </si>
  <si>
    <t>высота</t>
  </si>
  <si>
    <t>Кассетный потолок_открытый тип</t>
  </si>
  <si>
    <t>Кассетный потолок_закрытый тип</t>
  </si>
  <si>
    <t>Тип кассеты</t>
  </si>
  <si>
    <t>600*600 0,5 Zn</t>
  </si>
  <si>
    <t>Тип монтажа</t>
  </si>
  <si>
    <t>Кассета</t>
  </si>
  <si>
    <t xml:space="preserve">Кассета </t>
  </si>
  <si>
    <t>Стрингер</t>
  </si>
  <si>
    <t>Мини подвес</t>
  </si>
  <si>
    <t>тип кассеты</t>
  </si>
  <si>
    <t>Угол пристенный 
19*19</t>
  </si>
  <si>
    <t>Монтажный профиль</t>
  </si>
  <si>
    <t>Евро подвес</t>
  </si>
  <si>
    <t>Шпилька</t>
  </si>
  <si>
    <t>2-х уровневый соед</t>
  </si>
  <si>
    <t>600*600 0,5 Al</t>
  </si>
  <si>
    <t>Количество шт. в коробках</t>
  </si>
  <si>
    <t>Угол пристенный  
19*19</t>
  </si>
  <si>
    <t>Угол пристенный
 19*19</t>
  </si>
  <si>
    <t>Грильято GL15 алюминий</t>
  </si>
  <si>
    <t>Грильято GL15 Jalusi алюминий</t>
  </si>
  <si>
    <t>Высота профиля, мм</t>
  </si>
  <si>
    <t>Высота профиля, 38 мм</t>
  </si>
  <si>
    <t>Ячейка</t>
  </si>
  <si>
    <t>100х100</t>
  </si>
  <si>
    <t>100х300</t>
  </si>
  <si>
    <t>мама</t>
  </si>
  <si>
    <t>папа</t>
  </si>
  <si>
    <t>Несущая 600</t>
  </si>
  <si>
    <t>L-профиль</t>
  </si>
  <si>
    <t>L-профиль a</t>
  </si>
  <si>
    <t>Несущая 1200</t>
  </si>
  <si>
    <t>L-профиль b</t>
  </si>
  <si>
    <t>Несущая 2400</t>
  </si>
  <si>
    <t>Соед. элемент</t>
  </si>
  <si>
    <t>Угол пристенный</t>
  </si>
  <si>
    <t>* габариты указаны для толщины металла 0,3мм</t>
  </si>
  <si>
    <t>* габариты указаны для толщины металла 0,3мм и профиля Т15</t>
  </si>
  <si>
    <t>ячейка</t>
  </si>
  <si>
    <t>соед.элемент</t>
  </si>
  <si>
    <t>40х40</t>
  </si>
  <si>
    <t>40х300</t>
  </si>
  <si>
    <t>50х50</t>
  </si>
  <si>
    <t>50х300</t>
  </si>
  <si>
    <t>60х60</t>
  </si>
  <si>
    <t>60х300</t>
  </si>
  <si>
    <t>75х75</t>
  </si>
  <si>
    <t>75х300</t>
  </si>
  <si>
    <t>86х86</t>
  </si>
  <si>
    <t>86х300</t>
  </si>
  <si>
    <t>120х120</t>
  </si>
  <si>
    <t>120х300</t>
  </si>
  <si>
    <t>150х150</t>
  </si>
  <si>
    <t>150х300</t>
  </si>
  <si>
    <t>200х200</t>
  </si>
  <si>
    <t>200х300</t>
  </si>
  <si>
    <t>Кратность м.п.</t>
  </si>
  <si>
    <t>Грильято GL15 цинк</t>
  </si>
  <si>
    <t>Тип рейки S Дизайн</t>
  </si>
  <si>
    <t>Ширина рейки, мм</t>
  </si>
  <si>
    <t>Длина рейки, м</t>
  </si>
  <si>
    <t>Наличие раскладки</t>
  </si>
  <si>
    <t>Рейка</t>
  </si>
  <si>
    <t>Траверс</t>
  </si>
  <si>
    <t>Тип</t>
  </si>
  <si>
    <t>ширина</t>
  </si>
  <si>
    <t>длина</t>
  </si>
  <si>
    <t>расход на 1 м2</t>
  </si>
  <si>
    <t>кол-во шт. в коробке</t>
  </si>
  <si>
    <t>масса коробки</t>
  </si>
  <si>
    <t>объем коробки</t>
  </si>
  <si>
    <t>Рейка_вставка</t>
  </si>
  <si>
    <t>Вставка</t>
  </si>
  <si>
    <t>Расчет куботы</t>
  </si>
  <si>
    <t xml:space="preserve"> выбрать из списка</t>
  </si>
  <si>
    <t>Высота рейки, мм</t>
  </si>
  <si>
    <t>Материал</t>
  </si>
  <si>
    <t>Сталь</t>
  </si>
  <si>
    <t xml:space="preserve"> проставить значение</t>
  </si>
  <si>
    <t>Итог</t>
  </si>
  <si>
    <t xml:space="preserve">Кол-во реек, шт </t>
  </si>
  <si>
    <t>Кол-во несущего профиля, шт</t>
  </si>
  <si>
    <t>ширина панели, мм</t>
  </si>
  <si>
    <t>Высота панели, мм</t>
  </si>
  <si>
    <t>Расст. Между панелями, мм</t>
  </si>
  <si>
    <t>Ширина панели, мм</t>
  </si>
  <si>
    <t>кол-во реек</t>
  </si>
  <si>
    <t>несущий профиль</t>
  </si>
  <si>
    <t>аллюминий</t>
  </si>
  <si>
    <t>сталь</t>
  </si>
  <si>
    <t>Алюминий</t>
  </si>
  <si>
    <t xml:space="preserve">      </t>
  </si>
  <si>
    <t>Расстояние между рейками, мм</t>
  </si>
  <si>
    <r>
      <t>Площадь, м</t>
    </r>
    <r>
      <rPr>
        <vertAlign val="superscript"/>
        <sz val="10"/>
        <color rgb="FF000000"/>
        <rFont val="Arial"/>
        <family val="2"/>
        <charset val="204"/>
      </rPr>
      <t>2</t>
    </r>
  </si>
  <si>
    <t>Шаг по осям реек, мм</t>
  </si>
  <si>
    <t>Грильято цинк</t>
  </si>
  <si>
    <t>Калькулятор для расчета количества комплектующих. 
Металлические подвесные потолки Grand Line</t>
  </si>
  <si>
    <t>да</t>
  </si>
  <si>
    <r>
      <t>S потолка, м</t>
    </r>
    <r>
      <rPr>
        <vertAlign val="superscript"/>
        <sz val="10"/>
        <color rgb="FF000000"/>
        <rFont val="Arial"/>
        <family val="2"/>
        <charset val="204"/>
      </rPr>
      <t>2</t>
    </r>
  </si>
  <si>
    <t>Кубообразный потолок</t>
  </si>
  <si>
    <t>Грильято КЛАССИКА алюминий</t>
  </si>
  <si>
    <t>Грильято КЛАССИКА цинк</t>
  </si>
  <si>
    <t>шаг по осям реек (справочно)</t>
  </si>
  <si>
    <t>усиленный</t>
  </si>
  <si>
    <t>Стандарт Т-24</t>
  </si>
  <si>
    <t>Премиум Т-24</t>
  </si>
  <si>
    <t>Hard Т-24</t>
  </si>
  <si>
    <t>Slim Т-15</t>
  </si>
  <si>
    <t>Hard Т-24 0,3 Al</t>
  </si>
  <si>
    <t>Hard Т-24 0,4 Al</t>
  </si>
  <si>
    <t>Hard Т-24 0,35 Zn</t>
  </si>
  <si>
    <t>Hard Т-24 0,4 Zn</t>
  </si>
  <si>
    <t>Hard Т-24 0,5 Zn</t>
  </si>
  <si>
    <t>Подвесная система Стандарт Т-24</t>
  </si>
  <si>
    <t>Подвесная система Премиум Т-24</t>
  </si>
  <si>
    <t>Подвесная система Hard Т-24</t>
  </si>
  <si>
    <t>Подвесная система Slim Т-15</t>
  </si>
  <si>
    <t>Лайт Т-24</t>
  </si>
  <si>
    <t>Подвесная система Лайт Т-24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</si>
</sst>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\ ##0.00\ _₽_-;\-* #\ ##0.00\ _₽_-;_-* \-??\ _₽_-;_-@_-"/>
    <numFmt numFmtId="165" formatCode="#\ ##0"/>
    <numFmt numFmtId="166" formatCode="#\ ##0.000"/>
    <numFmt numFmtId="167" formatCode="0.000"/>
    <numFmt numFmtId="168" formatCode="0;;;\)"/>
    <numFmt numFmtId="169" formatCode="0.0"/>
    <numFmt numFmtId="170" formatCode=";;;"/>
    <numFmt numFmtId="171" formatCode="#\ ##0.00"/>
    <numFmt numFmtId="172" formatCode="#\ ##0.0"/>
    <numFmt numFmtId="173" formatCode="0.0000"/>
    <numFmt numFmtId="174" formatCode="0.00;;;\)"/>
  </numFmts>
  <fonts count="25" x14ac:knownFonts="1"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2"/>
      <color rgb="FFC00000"/>
      <name val="Arial"/>
      <charset val="204"/>
    </font>
    <font>
      <sz val="10"/>
      <color rgb="FF808080"/>
      <name val="Arial"/>
      <charset val="204"/>
    </font>
    <font>
      <b/>
      <sz val="10"/>
      <color rgb="FF000000"/>
      <name val="Arial"/>
      <charset val="204"/>
    </font>
    <font>
      <b/>
      <sz val="10"/>
      <color rgb="FFFF0000"/>
      <name val="Arial"/>
      <charset val="204"/>
    </font>
    <font>
      <sz val="10"/>
      <name val="Arial"/>
      <charset val="204"/>
    </font>
    <font>
      <b/>
      <sz val="10"/>
      <name val="Arial"/>
      <charset val="204"/>
    </font>
    <font>
      <b/>
      <sz val="10"/>
      <color rgb="FFC00000"/>
      <name val="Arial"/>
      <charset val="204"/>
    </font>
    <font>
      <sz val="10"/>
      <color theme="0"/>
      <name val="Arial"/>
      <charset val="204"/>
    </font>
    <font>
      <sz val="14"/>
      <color rgb="FF000000"/>
      <name val="Arial"/>
      <charset val="204"/>
    </font>
    <font>
      <sz val="10"/>
      <color rgb="FFFFFFFF"/>
      <name val="Arial"/>
      <charset val="204"/>
    </font>
    <font>
      <sz val="11"/>
      <color rgb="FF404040"/>
      <name val="Arial"/>
      <charset val="204"/>
    </font>
    <font>
      <b/>
      <u/>
      <sz val="10"/>
      <color rgb="FF0000FF"/>
      <name val="Arial"/>
      <charset val="204"/>
    </font>
    <font>
      <u/>
      <sz val="11"/>
      <color rgb="FF0000FF"/>
      <name val="Calibri"/>
      <charset val="204"/>
    </font>
    <font>
      <sz val="10"/>
      <name val="Arial Cyr"/>
      <charset val="204"/>
    </font>
    <font>
      <vertAlign val="superscript"/>
      <sz val="10"/>
      <color rgb="FF00000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2"/>
      <color rgb="FFC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92D050"/>
        <bgColor rgb="FFC0C0C0"/>
      </patternFill>
    </fill>
    <fill>
      <patternFill patternType="solid">
        <fgColor rgb="FFDCE6F2"/>
        <bgColor rgb="FFCCFFFF"/>
      </patternFill>
    </fill>
    <fill>
      <patternFill patternType="solid">
        <fgColor theme="0"/>
        <bgColor rgb="FFCCFFFF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4" tint="0.79992065187536243"/>
        <bgColor rgb="FFCCFFFF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medium">
        <color auto="1"/>
      </bottom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808080"/>
      </left>
      <right style="hair">
        <color rgb="FF808080"/>
      </right>
      <top style="medium">
        <color auto="1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/>
      <top style="hair">
        <color rgb="FF808080"/>
      </top>
      <bottom style="medium">
        <color auto="1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rgb="FF808080"/>
      </left>
      <right style="hair">
        <color rgb="FF808080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164" fontId="17" fillId="0" borderId="0" applyBorder="0" applyProtection="0"/>
    <xf numFmtId="0" fontId="14" fillId="0" borderId="0" applyBorder="0" applyProtection="0"/>
    <xf numFmtId="0" fontId="15" fillId="0" borderId="0"/>
  </cellStyleXfs>
  <cellXfs count="303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left" vertical="center"/>
      <protection hidden="1"/>
    </xf>
    <xf numFmtId="0" fontId="1" fillId="0" borderId="0" xfId="3" applyFont="1" applyAlignment="1" applyProtection="1">
      <alignment horizontal="center" vertical="center"/>
      <protection hidden="1"/>
    </xf>
    <xf numFmtId="0" fontId="1" fillId="0" borderId="1" xfId="3" applyFont="1" applyBorder="1" applyAlignment="1" applyProtection="1">
      <alignment vertical="center"/>
      <protection hidden="1"/>
    </xf>
    <xf numFmtId="0" fontId="4" fillId="3" borderId="1" xfId="3" applyFont="1" applyFill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vertical="center"/>
      <protection hidden="1"/>
    </xf>
    <xf numFmtId="165" fontId="4" fillId="3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0" xfId="3" applyFont="1" applyAlignment="1" applyProtection="1">
      <alignment vertical="center"/>
      <protection hidden="1"/>
    </xf>
    <xf numFmtId="0" fontId="1" fillId="0" borderId="0" xfId="3" applyFont="1" applyBorder="1" applyAlignment="1" applyProtection="1">
      <alignment vertical="center"/>
      <protection hidden="1"/>
    </xf>
    <xf numFmtId="0" fontId="4" fillId="0" borderId="2" xfId="3" applyFont="1" applyBorder="1" applyAlignment="1" applyProtection="1">
      <alignment horizontal="center" vertical="center" wrapText="1"/>
      <protection hidden="1"/>
    </xf>
    <xf numFmtId="0" fontId="1" fillId="0" borderId="2" xfId="3" applyFont="1" applyBorder="1" applyAlignment="1" applyProtection="1">
      <alignment horizontal="left" vertical="center" indent="1"/>
      <protection hidden="1"/>
    </xf>
    <xf numFmtId="165" fontId="1" fillId="0" borderId="2" xfId="0" applyNumberFormat="1" applyFont="1" applyBorder="1" applyAlignment="1" applyProtection="1">
      <alignment horizontal="center" vertical="center"/>
      <protection hidden="1"/>
    </xf>
    <xf numFmtId="165" fontId="6" fillId="4" borderId="2" xfId="3" applyNumberFormat="1" applyFont="1" applyFill="1" applyBorder="1" applyAlignment="1" applyProtection="1">
      <alignment horizontal="center" vertical="center"/>
      <protection hidden="1"/>
    </xf>
    <xf numFmtId="165" fontId="1" fillId="0" borderId="2" xfId="3" applyNumberFormat="1" applyFont="1" applyBorder="1" applyAlignment="1" applyProtection="1">
      <alignment horizontal="center" vertical="center"/>
      <protection hidden="1"/>
    </xf>
    <xf numFmtId="166" fontId="1" fillId="0" borderId="2" xfId="3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left" vertical="center" indent="1"/>
      <protection hidden="1"/>
    </xf>
    <xf numFmtId="165" fontId="1" fillId="0" borderId="3" xfId="3" applyNumberFormat="1" applyFont="1" applyBorder="1" applyAlignment="1" applyProtection="1">
      <alignment horizontal="center" vertical="center"/>
      <protection hidden="1"/>
    </xf>
    <xf numFmtId="165" fontId="6" fillId="4" borderId="3" xfId="3" applyNumberFormat="1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" fontId="1" fillId="0" borderId="3" xfId="0" applyNumberFormat="1" applyFont="1" applyBorder="1" applyAlignment="1" applyProtection="1">
      <alignment horizontal="center" vertical="center"/>
      <protection hidden="1"/>
    </xf>
    <xf numFmtId="166" fontId="1" fillId="0" borderId="3" xfId="0" applyNumberFormat="1" applyFont="1" applyBorder="1" applyAlignment="1" applyProtection="1">
      <alignment horizontal="center" vertical="center"/>
      <protection hidden="1"/>
    </xf>
    <xf numFmtId="0" fontId="4" fillId="0" borderId="4" xfId="3" applyFont="1" applyBorder="1" applyAlignment="1" applyProtection="1">
      <alignment horizontal="center" vertical="center"/>
      <protection hidden="1"/>
    </xf>
    <xf numFmtId="0" fontId="4" fillId="0" borderId="4" xfId="3" applyFont="1" applyBorder="1" applyAlignment="1" applyProtection="1">
      <alignment horizontal="right" vertical="center"/>
      <protection hidden="1"/>
    </xf>
    <xf numFmtId="165" fontId="4" fillId="0" borderId="4" xfId="3" applyNumberFormat="1" applyFont="1" applyBorder="1" applyAlignment="1" applyProtection="1">
      <alignment horizontal="right" vertical="center"/>
      <protection hidden="1"/>
    </xf>
    <xf numFmtId="166" fontId="4" fillId="0" borderId="4" xfId="3" applyNumberFormat="1" applyFont="1" applyBorder="1" applyAlignment="1" applyProtection="1">
      <alignment horizontal="right" vertical="center"/>
      <protection hidden="1"/>
    </xf>
    <xf numFmtId="0" fontId="4" fillId="0" borderId="0" xfId="3" applyFont="1" applyAlignment="1" applyProtection="1">
      <alignment vertical="center"/>
      <protection hidden="1"/>
    </xf>
    <xf numFmtId="0" fontId="4" fillId="0" borderId="0" xfId="3" applyFont="1" applyBorder="1" applyAlignment="1" applyProtection="1">
      <alignment horizontal="center" vertical="center"/>
      <protection hidden="1"/>
    </xf>
    <xf numFmtId="0" fontId="4" fillId="0" borderId="0" xfId="3" applyFont="1" applyBorder="1" applyAlignment="1" applyProtection="1">
      <alignment horizontal="right" vertical="center"/>
      <protection hidden="1"/>
    </xf>
    <xf numFmtId="165" fontId="4" fillId="0" borderId="0" xfId="3" applyNumberFormat="1" applyFont="1" applyBorder="1" applyAlignment="1" applyProtection="1">
      <alignment horizontal="right" vertical="center"/>
      <protection hidden="1"/>
    </xf>
    <xf numFmtId="166" fontId="4" fillId="0" borderId="0" xfId="3" applyNumberFormat="1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vertical="center" wrapText="1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5" fillId="0" borderId="0" xfId="3" applyFont="1" applyBorder="1" applyAlignment="1" applyProtection="1">
      <alignment vertical="center"/>
      <protection hidden="1"/>
    </xf>
    <xf numFmtId="0" fontId="7" fillId="0" borderId="0" xfId="3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0" fontId="1" fillId="0" borderId="6" xfId="0" applyFont="1" applyBorder="1" applyProtection="1">
      <protection hidden="1"/>
    </xf>
    <xf numFmtId="0" fontId="1" fillId="0" borderId="0" xfId="3" applyFont="1" applyBorder="1" applyProtection="1">
      <protection hidden="1"/>
    </xf>
    <xf numFmtId="0" fontId="1" fillId="0" borderId="0" xfId="3" applyFont="1" applyProtection="1">
      <protection hidden="1"/>
    </xf>
    <xf numFmtId="0" fontId="4" fillId="0" borderId="0" xfId="3" applyFont="1" applyBorder="1" applyAlignment="1" applyProtection="1">
      <alignment horizontal="center" vertical="center" wrapText="1"/>
      <protection hidden="1"/>
    </xf>
    <xf numFmtId="165" fontId="1" fillId="4" borderId="2" xfId="3" applyNumberFormat="1" applyFont="1" applyFill="1" applyBorder="1" applyAlignment="1" applyProtection="1">
      <alignment horizontal="center" vertical="center"/>
      <protection hidden="1"/>
    </xf>
    <xf numFmtId="1" fontId="1" fillId="5" borderId="2" xfId="0" applyNumberFormat="1" applyFont="1" applyFill="1" applyBorder="1" applyAlignment="1" applyProtection="1">
      <alignment horizontal="center"/>
      <protection hidden="1"/>
    </xf>
    <xf numFmtId="167" fontId="1" fillId="0" borderId="0" xfId="3" applyNumberFormat="1" applyFont="1" applyBorder="1" applyAlignment="1" applyProtection="1">
      <alignment horizontal="center" vertical="center"/>
      <protection hidden="1"/>
    </xf>
    <xf numFmtId="168" fontId="1" fillId="0" borderId="2" xfId="3" applyNumberFormat="1" applyFont="1" applyBorder="1" applyAlignment="1" applyProtection="1">
      <alignment horizontal="center" vertical="center"/>
      <protection hidden="1"/>
    </xf>
    <xf numFmtId="168" fontId="1" fillId="5" borderId="2" xfId="0" applyNumberFormat="1" applyFont="1" applyFill="1" applyBorder="1" applyAlignment="1" applyProtection="1">
      <alignment horizontal="center"/>
      <protection hidden="1"/>
    </xf>
    <xf numFmtId="168" fontId="1" fillId="0" borderId="0" xfId="3" applyNumberFormat="1" applyFont="1" applyBorder="1" applyAlignment="1" applyProtection="1">
      <alignment horizontal="center" vertical="center"/>
      <protection hidden="1"/>
    </xf>
    <xf numFmtId="170" fontId="6" fillId="0" borderId="2" xfId="3" applyNumberFormat="1" applyFont="1" applyBorder="1" applyAlignment="1" applyProtection="1">
      <alignment horizontal="center" vertical="center"/>
      <protection hidden="1"/>
    </xf>
    <xf numFmtId="1" fontId="1" fillId="4" borderId="2" xfId="3" applyNumberFormat="1" applyFont="1" applyFill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167" fontId="1" fillId="0" borderId="0" xfId="0" applyNumberFormat="1" applyFont="1" applyBorder="1" applyAlignment="1" applyProtection="1">
      <alignment horizontal="center" vertical="center"/>
      <protection hidden="1"/>
    </xf>
    <xf numFmtId="165" fontId="1" fillId="4" borderId="3" xfId="3" applyNumberFormat="1" applyFont="1" applyFill="1" applyBorder="1" applyAlignment="1" applyProtection="1">
      <alignment horizontal="center" vertical="center"/>
      <protection hidden="1"/>
    </xf>
    <xf numFmtId="170" fontId="1" fillId="0" borderId="3" xfId="3" applyNumberFormat="1" applyFont="1" applyBorder="1" applyAlignment="1" applyProtection="1">
      <alignment horizontal="center" vertical="center"/>
      <protection hidden="1"/>
    </xf>
    <xf numFmtId="167" fontId="4" fillId="5" borderId="0" xfId="3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Border="1" applyProtection="1">
      <protection hidden="1"/>
    </xf>
    <xf numFmtId="0" fontId="7" fillId="0" borderId="0" xfId="3" applyFont="1" applyBorder="1" applyAlignment="1" applyProtection="1">
      <alignment horizontal="left"/>
      <protection hidden="1"/>
    </xf>
    <xf numFmtId="0" fontId="6" fillId="0" borderId="0" xfId="3" applyFont="1" applyBorder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6" fillId="0" borderId="5" xfId="0" applyFont="1" applyBorder="1" applyAlignment="1" applyProtection="1">
      <alignment horizontal="left"/>
      <protection hidden="1"/>
    </xf>
    <xf numFmtId="0" fontId="6" fillId="0" borderId="5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6" fillId="0" borderId="6" xfId="0" applyFont="1" applyBorder="1" applyProtection="1">
      <protection hidden="1"/>
    </xf>
    <xf numFmtId="0" fontId="6" fillId="0" borderId="6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5" fillId="0" borderId="0" xfId="3" applyFont="1" applyAlignment="1" applyProtection="1">
      <alignment horizontal="center"/>
      <protection hidden="1"/>
    </xf>
    <xf numFmtId="0" fontId="1" fillId="0" borderId="0" xfId="3" applyFont="1" applyAlignment="1" applyProtection="1">
      <alignment horizontal="center"/>
      <protection hidden="1"/>
    </xf>
    <xf numFmtId="165" fontId="1" fillId="4" borderId="2" xfId="1" applyNumberFormat="1" applyFont="1" applyFill="1" applyBorder="1" applyAlignment="1" applyProtection="1">
      <alignment horizontal="center" vertical="center"/>
      <protection hidden="1"/>
    </xf>
    <xf numFmtId="165" fontId="6" fillId="0" borderId="2" xfId="3" applyNumberFormat="1" applyFont="1" applyBorder="1" applyAlignment="1" applyProtection="1">
      <alignment horizontal="center" vertical="center"/>
      <protection hidden="1"/>
    </xf>
    <xf numFmtId="165" fontId="1" fillId="5" borderId="2" xfId="3" applyNumberFormat="1" applyFont="1" applyFill="1" applyBorder="1" applyAlignment="1" applyProtection="1">
      <alignment horizontal="center" vertical="center"/>
      <protection hidden="1"/>
    </xf>
    <xf numFmtId="165" fontId="6" fillId="6" borderId="2" xfId="3" applyNumberFormat="1" applyFont="1" applyFill="1" applyBorder="1" applyAlignment="1" applyProtection="1">
      <alignment horizontal="center" vertical="center"/>
      <protection hidden="1"/>
    </xf>
    <xf numFmtId="172" fontId="6" fillId="6" borderId="2" xfId="3" applyNumberFormat="1" applyFont="1" applyFill="1" applyBorder="1" applyAlignment="1" applyProtection="1">
      <alignment horizontal="center" vertical="center"/>
      <protection hidden="1"/>
    </xf>
    <xf numFmtId="0" fontId="1" fillId="4" borderId="8" xfId="3" applyFont="1" applyFill="1" applyBorder="1" applyAlignment="1" applyProtection="1">
      <alignment horizontal="center"/>
      <protection hidden="1"/>
    </xf>
    <xf numFmtId="165" fontId="1" fillId="4" borderId="9" xfId="3" applyNumberFormat="1" applyFont="1" applyFill="1" applyBorder="1" applyAlignment="1" applyProtection="1">
      <alignment horizontal="center" vertical="center"/>
      <protection hidden="1"/>
    </xf>
    <xf numFmtId="170" fontId="1" fillId="0" borderId="10" xfId="3" applyNumberFormat="1" applyFont="1" applyBorder="1" applyAlignment="1" applyProtection="1">
      <alignment horizontal="center" vertical="center"/>
      <protection hidden="1"/>
    </xf>
    <xf numFmtId="0" fontId="5" fillId="0" borderId="0" xfId="3" applyFont="1" applyBorder="1" applyAlignment="1" applyProtection="1">
      <protection hidden="1"/>
    </xf>
    <xf numFmtId="0" fontId="7" fillId="0" borderId="0" xfId="3" applyFont="1" applyBorder="1" applyAlignment="1" applyProtection="1">
      <protection hidden="1"/>
    </xf>
    <xf numFmtId="0" fontId="1" fillId="7" borderId="0" xfId="0" applyFont="1" applyFill="1" applyBorder="1" applyProtection="1">
      <protection hidden="1"/>
    </xf>
    <xf numFmtId="0" fontId="2" fillId="7" borderId="0" xfId="0" applyFont="1" applyFill="1" applyBorder="1" applyProtection="1">
      <protection hidden="1"/>
    </xf>
    <xf numFmtId="0" fontId="3" fillId="7" borderId="0" xfId="3" applyFont="1" applyFill="1" applyBorder="1" applyAlignment="1" applyProtection="1">
      <alignment horizontal="left"/>
      <protection hidden="1"/>
    </xf>
    <xf numFmtId="0" fontId="1" fillId="7" borderId="0" xfId="3" applyFont="1" applyFill="1" applyBorder="1" applyAlignment="1" applyProtection="1">
      <alignment horizontal="center"/>
      <protection hidden="1"/>
    </xf>
    <xf numFmtId="0" fontId="5" fillId="7" borderId="0" xfId="3" applyFont="1" applyFill="1" applyBorder="1" applyAlignment="1" applyProtection="1">
      <alignment horizontal="center"/>
      <protection hidden="1"/>
    </xf>
    <xf numFmtId="0" fontId="1" fillId="7" borderId="0" xfId="3" applyFont="1" applyFill="1" applyBorder="1" applyProtection="1">
      <protection hidden="1"/>
    </xf>
    <xf numFmtId="0" fontId="4" fillId="8" borderId="0" xfId="3" applyFont="1" applyFill="1" applyBorder="1" applyAlignment="1" applyProtection="1">
      <alignment horizontal="right" vertical="center"/>
      <protection locked="0"/>
    </xf>
    <xf numFmtId="0" fontId="3" fillId="7" borderId="0" xfId="3" applyFont="1" applyFill="1" applyBorder="1" applyProtection="1">
      <protection hidden="1"/>
    </xf>
    <xf numFmtId="0" fontId="4" fillId="7" borderId="0" xfId="3" applyFont="1" applyFill="1" applyBorder="1" applyAlignment="1" applyProtection="1">
      <alignment horizontal="center" vertical="center" wrapText="1"/>
      <protection hidden="1"/>
    </xf>
    <xf numFmtId="0" fontId="7" fillId="7" borderId="0" xfId="3" applyFont="1" applyFill="1" applyBorder="1" applyAlignment="1" applyProtection="1">
      <alignment horizontal="center" vertical="center" wrapText="1"/>
      <protection hidden="1"/>
    </xf>
    <xf numFmtId="0" fontId="1" fillId="7" borderId="0" xfId="3" applyFont="1" applyFill="1" applyBorder="1" applyAlignment="1" applyProtection="1">
      <alignment horizontal="left" vertical="center" indent="1"/>
      <protection hidden="1"/>
    </xf>
    <xf numFmtId="165" fontId="1" fillId="5" borderId="0" xfId="1" applyNumberFormat="1" applyFont="1" applyFill="1" applyBorder="1" applyAlignment="1" applyProtection="1">
      <alignment horizontal="center" vertical="center"/>
      <protection hidden="1"/>
    </xf>
    <xf numFmtId="1" fontId="6" fillId="7" borderId="0" xfId="3" applyNumberFormat="1" applyFont="1" applyFill="1" applyBorder="1" applyAlignment="1" applyProtection="1">
      <alignment horizontal="center" vertical="center"/>
      <protection hidden="1"/>
    </xf>
    <xf numFmtId="165" fontId="1" fillId="7" borderId="0" xfId="3" applyNumberFormat="1" applyFont="1" applyFill="1" applyBorder="1" applyAlignment="1" applyProtection="1">
      <alignment horizontal="center" vertical="center"/>
      <protection hidden="1"/>
    </xf>
    <xf numFmtId="171" fontId="1" fillId="7" borderId="0" xfId="3" applyNumberFormat="1" applyFont="1" applyFill="1" applyBorder="1" applyAlignment="1" applyProtection="1">
      <alignment horizontal="center" vertical="center"/>
      <protection hidden="1"/>
    </xf>
    <xf numFmtId="167" fontId="1" fillId="7" borderId="0" xfId="3" applyNumberFormat="1" applyFont="1" applyFill="1" applyBorder="1" applyAlignment="1" applyProtection="1">
      <alignment horizontal="center" vertical="center"/>
      <protection hidden="1"/>
    </xf>
    <xf numFmtId="0" fontId="1" fillId="7" borderId="0" xfId="3" applyFont="1" applyFill="1" applyBorder="1" applyAlignment="1" applyProtection="1">
      <alignment horizontal="center" vertical="center"/>
      <protection hidden="1"/>
    </xf>
    <xf numFmtId="2" fontId="6" fillId="7" borderId="0" xfId="3" applyNumberFormat="1" applyFont="1" applyFill="1" applyBorder="1" applyAlignment="1" applyProtection="1">
      <alignment horizontal="center" vertical="center"/>
      <protection hidden="1"/>
    </xf>
    <xf numFmtId="0" fontId="1" fillId="7" borderId="0" xfId="3" applyFont="1" applyFill="1" applyBorder="1" applyAlignment="1" applyProtection="1">
      <alignment horizontal="left" indent="1"/>
      <protection hidden="1"/>
    </xf>
    <xf numFmtId="1" fontId="1" fillId="5" borderId="0" xfId="3" applyNumberFormat="1" applyFont="1" applyFill="1" applyBorder="1" applyAlignment="1" applyProtection="1">
      <alignment horizontal="center"/>
      <protection hidden="1"/>
    </xf>
    <xf numFmtId="0" fontId="1" fillId="7" borderId="0" xfId="0" applyFont="1" applyFill="1" applyBorder="1" applyAlignment="1" applyProtection="1">
      <alignment horizontal="center" vertical="center"/>
      <protection hidden="1"/>
    </xf>
    <xf numFmtId="1" fontId="1" fillId="7" borderId="0" xfId="0" applyNumberFormat="1" applyFont="1" applyFill="1" applyBorder="1" applyAlignment="1" applyProtection="1">
      <alignment horizontal="center" vertical="center"/>
      <protection hidden="1"/>
    </xf>
    <xf numFmtId="167" fontId="1" fillId="7" borderId="0" xfId="0" applyNumberFormat="1" applyFont="1" applyFill="1" applyBorder="1" applyAlignment="1" applyProtection="1">
      <alignment horizontal="center" vertical="center"/>
      <protection hidden="1"/>
    </xf>
    <xf numFmtId="165" fontId="1" fillId="5" borderId="0" xfId="3" applyNumberFormat="1" applyFont="1" applyFill="1" applyBorder="1" applyAlignment="1" applyProtection="1">
      <alignment horizontal="center" vertical="center"/>
      <protection hidden="1"/>
    </xf>
    <xf numFmtId="170" fontId="1" fillId="7" borderId="0" xfId="3" applyNumberFormat="1" applyFont="1" applyFill="1" applyBorder="1" applyAlignment="1" applyProtection="1">
      <alignment horizontal="center" vertical="center"/>
      <protection hidden="1"/>
    </xf>
    <xf numFmtId="0" fontId="4" fillId="7" borderId="0" xfId="3" applyFont="1" applyFill="1" applyBorder="1" applyAlignment="1" applyProtection="1">
      <alignment horizontal="center" vertical="center"/>
      <protection hidden="1"/>
    </xf>
    <xf numFmtId="165" fontId="4" fillId="5" borderId="0" xfId="3" applyNumberFormat="1" applyFont="1" applyFill="1" applyBorder="1" applyAlignment="1" applyProtection="1">
      <alignment horizontal="right" vertical="center"/>
      <protection hidden="1"/>
    </xf>
    <xf numFmtId="1" fontId="4" fillId="5" borderId="0" xfId="3" applyNumberFormat="1" applyFont="1" applyFill="1" applyBorder="1" applyAlignment="1" applyProtection="1">
      <alignment horizontal="right" vertical="center"/>
      <protection hidden="1"/>
    </xf>
    <xf numFmtId="171" fontId="4" fillId="5" borderId="0" xfId="3" applyNumberFormat="1" applyFont="1" applyFill="1" applyBorder="1" applyAlignment="1" applyProtection="1">
      <alignment horizontal="center" vertical="center"/>
      <protection hidden="1"/>
    </xf>
    <xf numFmtId="0" fontId="3" fillId="7" borderId="0" xfId="0" applyFont="1" applyFill="1" applyBorder="1" applyProtection="1">
      <protection hidden="1"/>
    </xf>
    <xf numFmtId="0" fontId="1" fillId="7" borderId="0" xfId="0" applyFont="1" applyFill="1" applyProtection="1">
      <protection hidden="1"/>
    </xf>
    <xf numFmtId="0" fontId="6" fillId="7" borderId="0" xfId="0" applyFont="1" applyFill="1" applyProtection="1">
      <protection hidden="1"/>
    </xf>
    <xf numFmtId="0" fontId="6" fillId="7" borderId="5" xfId="0" applyFont="1" applyFill="1" applyBorder="1" applyAlignment="1" applyProtection="1">
      <alignment horizontal="left"/>
      <protection hidden="1"/>
    </xf>
    <xf numFmtId="0" fontId="6" fillId="7" borderId="5" xfId="0" applyFont="1" applyFill="1" applyBorder="1" applyProtection="1">
      <protection hidden="1"/>
    </xf>
    <xf numFmtId="0" fontId="1" fillId="7" borderId="5" xfId="0" applyFont="1" applyFill="1" applyBorder="1" applyProtection="1">
      <protection hidden="1"/>
    </xf>
    <xf numFmtId="0" fontId="1" fillId="7" borderId="5" xfId="0" applyFont="1" applyFill="1" applyBorder="1" applyAlignment="1" applyProtection="1">
      <alignment horizontal="left"/>
      <protection hidden="1"/>
    </xf>
    <xf numFmtId="0" fontId="6" fillId="7" borderId="0" xfId="0" applyFont="1" applyFill="1" applyAlignment="1" applyProtection="1">
      <alignment horizontal="left"/>
      <protection hidden="1"/>
    </xf>
    <xf numFmtId="0" fontId="0" fillId="0" borderId="0" xfId="0" applyBorder="1"/>
    <xf numFmtId="0" fontId="1" fillId="0" borderId="2" xfId="3" applyFont="1" applyBorder="1" applyProtection="1">
      <protection hidden="1"/>
    </xf>
    <xf numFmtId="0" fontId="4" fillId="3" borderId="2" xfId="3" applyFont="1" applyFill="1" applyBorder="1" applyAlignment="1" applyProtection="1">
      <alignment horizontal="right" vertical="center"/>
      <protection locked="0"/>
    </xf>
    <xf numFmtId="0" fontId="3" fillId="0" borderId="0" xfId="3" applyFont="1" applyAlignment="1" applyProtection="1">
      <alignment horizontal="left"/>
      <protection hidden="1"/>
    </xf>
    <xf numFmtId="0" fontId="3" fillId="0" borderId="0" xfId="3" applyFont="1" applyProtection="1">
      <protection hidden="1"/>
    </xf>
    <xf numFmtId="0" fontId="7" fillId="0" borderId="2" xfId="3" applyFont="1" applyBorder="1" applyAlignment="1" applyProtection="1">
      <alignment horizontal="center" vertical="center" wrapText="1"/>
      <protection hidden="1"/>
    </xf>
    <xf numFmtId="2" fontId="1" fillId="0" borderId="2" xfId="3" applyNumberFormat="1" applyFont="1" applyBorder="1" applyAlignment="1" applyProtection="1">
      <alignment horizontal="center" vertical="center"/>
      <protection hidden="1"/>
    </xf>
    <xf numFmtId="2" fontId="1" fillId="0" borderId="3" xfId="3" applyNumberFormat="1" applyFont="1" applyBorder="1" applyAlignment="1" applyProtection="1">
      <alignment horizontal="center" vertical="center"/>
      <protection hidden="1"/>
    </xf>
    <xf numFmtId="171" fontId="1" fillId="0" borderId="4" xfId="3" applyNumberFormat="1" applyFont="1" applyBorder="1" applyAlignment="1" applyProtection="1">
      <alignment horizontal="center" vertical="center"/>
      <protection hidden="1"/>
    </xf>
    <xf numFmtId="167" fontId="1" fillId="0" borderId="2" xfId="3" applyNumberFormat="1" applyFont="1" applyBorder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center" vertical="center"/>
      <protection hidden="1"/>
    </xf>
    <xf numFmtId="0" fontId="1" fillId="0" borderId="8" xfId="3" applyFont="1" applyBorder="1" applyAlignment="1" applyProtection="1">
      <alignment horizontal="left" indent="1"/>
      <protection hidden="1"/>
    </xf>
    <xf numFmtId="171" fontId="1" fillId="0" borderId="8" xfId="3" applyNumberFormat="1" applyFont="1" applyBorder="1" applyAlignment="1" applyProtection="1">
      <alignment horizontal="center" vertical="center"/>
      <protection hidden="1"/>
    </xf>
    <xf numFmtId="167" fontId="1" fillId="0" borderId="2" xfId="0" applyNumberFormat="1" applyFont="1" applyBorder="1" applyAlignment="1" applyProtection="1">
      <alignment horizontal="center" vertical="center"/>
      <protection hidden="1"/>
    </xf>
    <xf numFmtId="0" fontId="1" fillId="0" borderId="3" xfId="3" applyFont="1" applyBorder="1" applyAlignment="1" applyProtection="1">
      <alignment horizontal="left" vertical="center" indent="1"/>
      <protection hidden="1"/>
    </xf>
    <xf numFmtId="171" fontId="1" fillId="0" borderId="11" xfId="3" applyNumberFormat="1" applyFont="1" applyBorder="1" applyAlignment="1" applyProtection="1">
      <alignment horizontal="center" vertical="center"/>
      <protection hidden="1"/>
    </xf>
    <xf numFmtId="167" fontId="1" fillId="0" borderId="3" xfId="3" applyNumberFormat="1" applyFont="1" applyBorder="1" applyAlignment="1" applyProtection="1">
      <alignment horizontal="center" vertical="center"/>
      <protection hidden="1"/>
    </xf>
    <xf numFmtId="0" fontId="4" fillId="0" borderId="12" xfId="3" applyFont="1" applyBorder="1" applyAlignment="1" applyProtection="1">
      <alignment horizontal="center" vertical="center"/>
      <protection hidden="1"/>
    </xf>
    <xf numFmtId="165" fontId="4" fillId="4" borderId="4" xfId="3" applyNumberFormat="1" applyFont="1" applyFill="1" applyBorder="1" applyAlignment="1" applyProtection="1">
      <alignment horizontal="right" vertical="center"/>
      <protection hidden="1"/>
    </xf>
    <xf numFmtId="171" fontId="4" fillId="4" borderId="4" xfId="3" applyNumberFormat="1" applyFont="1" applyFill="1" applyBorder="1" applyAlignment="1" applyProtection="1">
      <alignment horizontal="center" vertical="center"/>
      <protection hidden="1"/>
    </xf>
    <xf numFmtId="167" fontId="4" fillId="4" borderId="4" xfId="3" applyNumberFormat="1" applyFont="1" applyFill="1" applyBorder="1" applyAlignment="1" applyProtection="1">
      <alignment horizontal="right" vertical="center"/>
      <protection hidden="1"/>
    </xf>
    <xf numFmtId="0" fontId="1" fillId="0" borderId="13" xfId="3" applyFont="1" applyBorder="1" applyProtection="1">
      <protection hidden="1"/>
    </xf>
    <xf numFmtId="1" fontId="6" fillId="0" borderId="2" xfId="3" applyNumberFormat="1" applyFont="1" applyBorder="1" applyAlignment="1" applyProtection="1">
      <alignment horizontal="center" vertical="center"/>
      <protection hidden="1"/>
    </xf>
    <xf numFmtId="0" fontId="1" fillId="0" borderId="2" xfId="3" applyFont="1" applyBorder="1" applyAlignment="1" applyProtection="1">
      <alignment horizontal="center" vertical="center"/>
      <protection hidden="1"/>
    </xf>
    <xf numFmtId="165" fontId="1" fillId="5" borderId="2" xfId="1" applyNumberFormat="1" applyFont="1" applyFill="1" applyBorder="1" applyAlignment="1" applyProtection="1">
      <alignment horizontal="center" vertical="center"/>
      <protection hidden="1"/>
    </xf>
    <xf numFmtId="1" fontId="6" fillId="6" borderId="2" xfId="3" applyNumberFormat="1" applyFont="1" applyFill="1" applyBorder="1" applyAlignment="1" applyProtection="1">
      <alignment horizontal="center" vertical="center"/>
      <protection hidden="1"/>
    </xf>
    <xf numFmtId="2" fontId="6" fillId="6" borderId="2" xfId="3" applyNumberFormat="1" applyFont="1" applyFill="1" applyBorder="1" applyAlignment="1" applyProtection="1">
      <alignment horizontal="center" vertical="center"/>
      <protection hidden="1"/>
    </xf>
    <xf numFmtId="1" fontId="1" fillId="4" borderId="8" xfId="3" applyNumberFormat="1" applyFont="1" applyFill="1" applyBorder="1" applyAlignment="1" applyProtection="1">
      <alignment horizontal="center"/>
      <protection hidden="1"/>
    </xf>
    <xf numFmtId="0" fontId="1" fillId="0" borderId="3" xfId="3" applyFont="1" applyBorder="1" applyAlignment="1" applyProtection="1">
      <alignment horizontal="center" vertical="center"/>
      <protection hidden="1"/>
    </xf>
    <xf numFmtId="1" fontId="4" fillId="4" borderId="4" xfId="3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" fillId="0" borderId="2" xfId="3" applyFont="1" applyBorder="1" applyAlignment="1" applyProtection="1">
      <alignment vertical="center"/>
      <protection hidden="1"/>
    </xf>
    <xf numFmtId="0" fontId="4" fillId="3" borderId="2" xfId="3" applyFont="1" applyFill="1" applyBorder="1" applyAlignment="1" applyProtection="1">
      <alignment horizontal="center" vertical="center"/>
      <protection locked="0"/>
    </xf>
    <xf numFmtId="0" fontId="4" fillId="0" borderId="8" xfId="3" applyFont="1" applyBorder="1" applyAlignment="1" applyProtection="1">
      <alignment horizontal="center" vertical="center" wrapText="1"/>
      <protection hidden="1"/>
    </xf>
    <xf numFmtId="0" fontId="1" fillId="0" borderId="14" xfId="3" applyFont="1" applyBorder="1" applyAlignment="1" applyProtection="1">
      <alignment horizontal="left" vertical="center" indent="1"/>
      <protection hidden="1"/>
    </xf>
    <xf numFmtId="0" fontId="1" fillId="4" borderId="2" xfId="3" applyFont="1" applyFill="1" applyBorder="1" applyAlignment="1" applyProtection="1">
      <alignment horizontal="center" vertical="center"/>
      <protection hidden="1"/>
    </xf>
    <xf numFmtId="1" fontId="7" fillId="0" borderId="15" xfId="3" applyNumberFormat="1" applyFont="1" applyBorder="1" applyAlignment="1" applyProtection="1">
      <alignment horizontal="center" vertical="center"/>
      <protection hidden="1"/>
    </xf>
    <xf numFmtId="1" fontId="1" fillId="0" borderId="2" xfId="3" applyNumberFormat="1" applyFont="1" applyBorder="1" applyAlignment="1" applyProtection="1">
      <alignment horizontal="center" vertical="center"/>
      <protection hidden="1"/>
    </xf>
    <xf numFmtId="165" fontId="1" fillId="0" borderId="4" xfId="3" applyNumberFormat="1" applyFont="1" applyBorder="1" applyAlignment="1" applyProtection="1">
      <alignment horizontal="center" vertical="center"/>
      <protection hidden="1"/>
    </xf>
    <xf numFmtId="167" fontId="6" fillId="0" borderId="2" xfId="3" applyNumberFormat="1" applyFont="1" applyBorder="1" applyAlignment="1" applyProtection="1">
      <alignment horizontal="center" vertical="center"/>
      <protection hidden="1"/>
    </xf>
    <xf numFmtId="0" fontId="6" fillId="4" borderId="2" xfId="3" applyFont="1" applyFill="1" applyBorder="1" applyAlignment="1" applyProtection="1">
      <alignment horizontal="center" vertical="center"/>
      <protection hidden="1"/>
    </xf>
    <xf numFmtId="0" fontId="1" fillId="6" borderId="2" xfId="3" applyFont="1" applyFill="1" applyBorder="1" applyAlignment="1" applyProtection="1">
      <alignment horizontal="left" vertical="center" indent="1"/>
      <protection hidden="1"/>
    </xf>
    <xf numFmtId="0" fontId="6" fillId="9" borderId="2" xfId="3" applyFont="1" applyFill="1" applyBorder="1" applyAlignment="1" applyProtection="1">
      <alignment horizontal="center" vertical="center"/>
      <protection hidden="1"/>
    </xf>
    <xf numFmtId="0" fontId="1" fillId="6" borderId="2" xfId="3" applyFont="1" applyFill="1" applyBorder="1" applyAlignment="1" applyProtection="1">
      <alignment horizontal="center" vertical="center"/>
      <protection hidden="1"/>
    </xf>
    <xf numFmtId="165" fontId="1" fillId="6" borderId="2" xfId="3" applyNumberFormat="1" applyFont="1" applyFill="1" applyBorder="1" applyAlignment="1" applyProtection="1">
      <alignment horizontal="center" vertical="center"/>
      <protection hidden="1"/>
    </xf>
    <xf numFmtId="171" fontId="1" fillId="6" borderId="4" xfId="3" applyNumberFormat="1" applyFont="1" applyFill="1" applyBorder="1" applyAlignment="1" applyProtection="1">
      <alignment horizontal="center" vertical="center"/>
      <protection hidden="1"/>
    </xf>
    <xf numFmtId="167" fontId="6" fillId="6" borderId="2" xfId="3" applyNumberFormat="1" applyFont="1" applyFill="1" applyBorder="1" applyAlignment="1" applyProtection="1">
      <alignment horizontal="center" vertical="center"/>
      <protection hidden="1"/>
    </xf>
    <xf numFmtId="165" fontId="6" fillId="0" borderId="3" xfId="3" applyNumberFormat="1" applyFont="1" applyBorder="1" applyAlignment="1" applyProtection="1">
      <alignment horizontal="center" vertical="center"/>
      <protection hidden="1"/>
    </xf>
    <xf numFmtId="171" fontId="1" fillId="0" borderId="3" xfId="3" applyNumberFormat="1" applyFont="1" applyBorder="1" applyAlignment="1" applyProtection="1">
      <alignment horizontal="center" vertical="center"/>
      <protection hidden="1"/>
    </xf>
    <xf numFmtId="167" fontId="6" fillId="0" borderId="3" xfId="3" applyNumberFormat="1" applyFont="1" applyBorder="1" applyAlignment="1" applyProtection="1">
      <alignment horizontal="center" vertical="center"/>
      <protection hidden="1"/>
    </xf>
    <xf numFmtId="0" fontId="4" fillId="4" borderId="4" xfId="3" applyFont="1" applyFill="1" applyBorder="1" applyAlignment="1" applyProtection="1">
      <alignment horizontal="center" vertical="center"/>
      <protection hidden="1"/>
    </xf>
    <xf numFmtId="0" fontId="4" fillId="0" borderId="0" xfId="3" applyFont="1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1" fillId="0" borderId="16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/>
    <xf numFmtId="1" fontId="7" fillId="0" borderId="2" xfId="3" applyNumberFormat="1" applyFont="1" applyBorder="1" applyAlignment="1" applyProtection="1">
      <alignment horizontal="center" vertical="center"/>
      <protection hidden="1"/>
    </xf>
    <xf numFmtId="165" fontId="6" fillId="5" borderId="2" xfId="3" applyNumberFormat="1" applyFont="1" applyFill="1" applyBorder="1" applyAlignment="1" applyProtection="1">
      <alignment horizontal="center" vertical="center"/>
      <protection hidden="1"/>
    </xf>
    <xf numFmtId="165" fontId="11" fillId="0" borderId="2" xfId="3" applyNumberFormat="1" applyFont="1" applyBorder="1" applyAlignment="1" applyProtection="1">
      <alignment horizontal="center" vertical="center"/>
      <protection hidden="1"/>
    </xf>
    <xf numFmtId="0" fontId="1" fillId="0" borderId="8" xfId="3" applyFont="1" applyBorder="1" applyAlignment="1" applyProtection="1">
      <alignment horizontal="left" vertical="center" indent="1"/>
      <protection hidden="1"/>
    </xf>
    <xf numFmtId="165" fontId="1" fillId="0" borderId="8" xfId="3" applyNumberFormat="1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170" fontId="6" fillId="0" borderId="3" xfId="3" applyNumberFormat="1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horizontal="left" vertical="center"/>
      <protection hidden="1"/>
    </xf>
    <xf numFmtId="173" fontId="6" fillId="0" borderId="2" xfId="3" applyNumberFormat="1" applyFont="1" applyBorder="1" applyAlignment="1" applyProtection="1">
      <alignment horizontal="center" vertical="center"/>
      <protection hidden="1"/>
    </xf>
    <xf numFmtId="0" fontId="12" fillId="0" borderId="0" xfId="0" applyFont="1"/>
    <xf numFmtId="2" fontId="1" fillId="0" borderId="8" xfId="3" applyNumberFormat="1" applyFont="1" applyBorder="1" applyAlignment="1" applyProtection="1">
      <alignment horizontal="center" vertical="center"/>
      <protection hidden="1"/>
    </xf>
    <xf numFmtId="2" fontId="6" fillId="0" borderId="3" xfId="3" applyNumberFormat="1" applyFont="1" applyBorder="1" applyAlignment="1" applyProtection="1">
      <alignment horizontal="center" vertical="center"/>
      <protection hidden="1"/>
    </xf>
    <xf numFmtId="2" fontId="4" fillId="4" borderId="4" xfId="3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" fillId="6" borderId="2" xfId="0" applyFont="1" applyFill="1" applyBorder="1" applyAlignment="1" applyProtection="1">
      <alignment horizontal="center" vertical="center"/>
      <protection hidden="1"/>
    </xf>
    <xf numFmtId="2" fontId="1" fillId="0" borderId="4" xfId="3" applyNumberFormat="1" applyFont="1" applyBorder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center"/>
      <protection hidden="1"/>
    </xf>
    <xf numFmtId="165" fontId="4" fillId="0" borderId="4" xfId="3" applyNumberFormat="1" applyFont="1" applyBorder="1" applyAlignment="1" applyProtection="1">
      <alignment horizontal="center" vertical="center"/>
      <protection hidden="1"/>
    </xf>
    <xf numFmtId="165" fontId="4" fillId="0" borderId="7" xfId="3" applyNumberFormat="1" applyFont="1" applyBorder="1" applyAlignment="1" applyProtection="1">
      <alignment horizontal="center" vertical="center"/>
      <protection hidden="1"/>
    </xf>
    <xf numFmtId="165" fontId="7" fillId="0" borderId="4" xfId="3" applyNumberFormat="1" applyFont="1" applyBorder="1" applyAlignment="1" applyProtection="1">
      <alignment horizontal="right" vertical="center"/>
      <protection hidden="1"/>
    </xf>
    <xf numFmtId="2" fontId="4" fillId="0" borderId="4" xfId="3" applyNumberFormat="1" applyFont="1" applyBorder="1" applyAlignment="1" applyProtection="1">
      <alignment horizontal="center" vertical="center"/>
      <protection hidden="1"/>
    </xf>
    <xf numFmtId="167" fontId="7" fillId="0" borderId="4" xfId="3" applyNumberFormat="1" applyFont="1" applyBorder="1" applyAlignment="1" applyProtection="1">
      <alignment horizontal="right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5" xfId="3" applyFont="1" applyBorder="1" applyAlignment="1" applyProtection="1">
      <alignment horizontal="center" vertical="top" wrapText="1"/>
      <protection hidden="1"/>
    </xf>
    <xf numFmtId="0" fontId="1" fillId="0" borderId="5" xfId="3" applyFont="1" applyBorder="1" applyAlignment="1" applyProtection="1">
      <alignment horizontal="right" vertical="top" wrapText="1"/>
      <protection hidden="1"/>
    </xf>
    <xf numFmtId="0" fontId="6" fillId="0" borderId="17" xfId="0" applyFont="1" applyBorder="1" applyProtection="1">
      <protection hidden="1"/>
    </xf>
    <xf numFmtId="0" fontId="6" fillId="0" borderId="5" xfId="0" applyFont="1" applyBorder="1" applyAlignment="1" applyProtection="1">
      <alignment vertical="top"/>
      <protection hidden="1"/>
    </xf>
    <xf numFmtId="0" fontId="1" fillId="0" borderId="5" xfId="3" applyFont="1" applyBorder="1" applyAlignment="1" applyProtection="1">
      <alignment vertical="center"/>
      <protection hidden="1"/>
    </xf>
    <xf numFmtId="0" fontId="1" fillId="0" borderId="5" xfId="3" applyFont="1" applyBorder="1" applyProtection="1"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3" fillId="3" borderId="0" xfId="2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 indent="4"/>
      <protection hidden="1"/>
    </xf>
    <xf numFmtId="174" fontId="1" fillId="0" borderId="2" xfId="3" applyNumberFormat="1" applyFont="1" applyBorder="1" applyAlignment="1" applyProtection="1">
      <alignment horizontal="center" vertical="center"/>
      <protection hidden="1"/>
    </xf>
    <xf numFmtId="0" fontId="4" fillId="0" borderId="2" xfId="3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protection hidden="1"/>
    </xf>
    <xf numFmtId="0" fontId="0" fillId="0" borderId="0" xfId="0" applyAlignment="1"/>
    <xf numFmtId="0" fontId="3" fillId="0" borderId="0" xfId="3" applyFont="1" applyBorder="1" applyAlignment="1" applyProtection="1">
      <alignment horizontal="left"/>
      <protection hidden="1"/>
    </xf>
    <xf numFmtId="0" fontId="1" fillId="0" borderId="0" xfId="3" applyFont="1" applyBorder="1" applyAlignment="1" applyProtection="1">
      <alignment horizontal="center"/>
      <protection hidden="1"/>
    </xf>
    <xf numFmtId="0" fontId="3" fillId="0" borderId="0" xfId="3" applyFont="1" applyBorder="1" applyProtection="1">
      <protection hidden="1"/>
    </xf>
    <xf numFmtId="0" fontId="1" fillId="0" borderId="1" xfId="3" applyFont="1" applyBorder="1" applyProtection="1">
      <protection hidden="1"/>
    </xf>
    <xf numFmtId="0" fontId="4" fillId="3" borderId="1" xfId="3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19" fillId="0" borderId="0" xfId="0" applyFont="1" applyAlignment="1" applyProtection="1">
      <alignment vertical="center"/>
      <protection hidden="1"/>
    </xf>
    <xf numFmtId="0" fontId="18" fillId="0" borderId="1" xfId="0" applyFont="1" applyBorder="1" applyAlignment="1">
      <alignment vertical="center"/>
    </xf>
    <xf numFmtId="0" fontId="20" fillId="3" borderId="1" xfId="3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0" fontId="22" fillId="0" borderId="0" xfId="0" applyFont="1" applyBorder="1" applyAlignment="1">
      <alignment horizontal="left" vertical="center"/>
    </xf>
    <xf numFmtId="0" fontId="18" fillId="0" borderId="0" xfId="0" applyFont="1" applyBorder="1"/>
    <xf numFmtId="0" fontId="22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/>
    <xf numFmtId="0" fontId="23" fillId="0" borderId="0" xfId="0" applyFont="1"/>
    <xf numFmtId="0" fontId="1" fillId="0" borderId="2" xfId="3" applyFont="1" applyBorder="1" applyAlignment="1" applyProtection="1">
      <alignment horizontal="left" indent="1"/>
      <protection hidden="1"/>
    </xf>
    <xf numFmtId="0" fontId="4" fillId="0" borderId="4" xfId="3" applyFont="1" applyBorder="1" applyAlignment="1" applyProtection="1">
      <alignment horizontal="center"/>
      <protection hidden="1"/>
    </xf>
    <xf numFmtId="165" fontId="4" fillId="4" borderId="4" xfId="3" applyNumberFormat="1" applyFont="1" applyFill="1" applyBorder="1" applyAlignment="1" applyProtection="1">
      <alignment horizontal="center" vertical="center"/>
      <protection hidden="1"/>
    </xf>
    <xf numFmtId="0" fontId="1" fillId="0" borderId="3" xfId="3" applyFont="1" applyBorder="1" applyAlignment="1" applyProtection="1">
      <alignment horizontal="left" indent="1"/>
      <protection hidden="1"/>
    </xf>
    <xf numFmtId="0" fontId="4" fillId="0" borderId="1" xfId="3" applyFont="1" applyBorder="1" applyAlignment="1" applyProtection="1">
      <alignment horizontal="center" vertical="center" wrapText="1"/>
      <protection hidden="1"/>
    </xf>
    <xf numFmtId="0" fontId="7" fillId="0" borderId="1" xfId="3" applyFont="1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left" indent="1"/>
      <protection hidden="1"/>
    </xf>
    <xf numFmtId="165" fontId="1" fillId="4" borderId="1" xfId="3" applyNumberFormat="1" applyFont="1" applyFill="1" applyBorder="1" applyAlignment="1" applyProtection="1">
      <alignment horizontal="center" vertical="center"/>
      <protection hidden="1"/>
    </xf>
    <xf numFmtId="1" fontId="1" fillId="5" borderId="1" xfId="0" applyNumberFormat="1" applyFont="1" applyFill="1" applyBorder="1" applyAlignment="1" applyProtection="1">
      <alignment horizontal="center"/>
      <protection hidden="1"/>
    </xf>
    <xf numFmtId="165" fontId="1" fillId="0" borderId="1" xfId="3" applyNumberFormat="1" applyFont="1" applyBorder="1" applyAlignment="1" applyProtection="1">
      <alignment horizontal="center" vertical="center"/>
      <protection hidden="1"/>
    </xf>
    <xf numFmtId="2" fontId="1" fillId="0" borderId="1" xfId="3" applyNumberFormat="1" applyFont="1" applyBorder="1" applyAlignment="1" applyProtection="1">
      <alignment horizontal="center" vertical="center"/>
      <protection hidden="1"/>
    </xf>
    <xf numFmtId="168" fontId="1" fillId="0" borderId="1" xfId="3" applyNumberFormat="1" applyFont="1" applyBorder="1" applyAlignment="1" applyProtection="1">
      <alignment horizontal="center" vertical="center"/>
      <protection hidden="1"/>
    </xf>
    <xf numFmtId="168" fontId="1" fillId="5" borderId="1" xfId="0" applyNumberFormat="1" applyFont="1" applyFill="1" applyBorder="1" applyAlignment="1" applyProtection="1">
      <alignment horizontal="center"/>
      <protection hidden="1"/>
    </xf>
    <xf numFmtId="169" fontId="1" fillId="5" borderId="1" xfId="0" applyNumberFormat="1" applyFont="1" applyFill="1" applyBorder="1" applyAlignment="1" applyProtection="1">
      <alignment horizontal="center"/>
      <protection hidden="1"/>
    </xf>
    <xf numFmtId="170" fontId="6" fillId="0" borderId="1" xfId="3" applyNumberFormat="1" applyFont="1" applyBorder="1" applyAlignment="1" applyProtection="1">
      <alignment horizontal="center" vertical="center"/>
      <protection hidden="1"/>
    </xf>
    <xf numFmtId="165" fontId="4" fillId="0" borderId="1" xfId="3" applyNumberFormat="1" applyFont="1" applyBorder="1" applyAlignment="1" applyProtection="1">
      <alignment horizontal="center" vertical="center"/>
      <protection hidden="1"/>
    </xf>
    <xf numFmtId="1" fontId="1" fillId="4" borderId="1" xfId="3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3" applyFont="1" applyBorder="1" applyAlignment="1" applyProtection="1">
      <alignment horizontal="left" vertical="center" indent="1"/>
      <protection hidden="1"/>
    </xf>
    <xf numFmtId="165" fontId="1" fillId="4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1" xfId="3" applyNumberFormat="1" applyFont="1" applyBorder="1" applyAlignment="1" applyProtection="1">
      <alignment horizontal="center" vertical="center"/>
      <protection hidden="1"/>
    </xf>
    <xf numFmtId="171" fontId="1" fillId="0" borderId="1" xfId="3" applyNumberFormat="1" applyFont="1" applyBorder="1" applyAlignment="1" applyProtection="1">
      <alignment horizontal="center" vertical="center"/>
      <protection hidden="1"/>
    </xf>
    <xf numFmtId="165" fontId="1" fillId="5" borderId="1" xfId="3" applyNumberFormat="1" applyFont="1" applyFill="1" applyBorder="1" applyAlignment="1" applyProtection="1">
      <alignment horizontal="center" vertical="center"/>
      <protection hidden="1"/>
    </xf>
    <xf numFmtId="165" fontId="6" fillId="6" borderId="1" xfId="3" applyNumberFormat="1" applyFont="1" applyFill="1" applyBorder="1" applyAlignment="1" applyProtection="1">
      <alignment horizontal="center" vertical="center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172" fontId="6" fillId="6" borderId="1" xfId="3" applyNumberFormat="1" applyFont="1" applyFill="1" applyBorder="1" applyAlignment="1" applyProtection="1">
      <alignment horizontal="center" vertical="center"/>
      <protection hidden="1"/>
    </xf>
    <xf numFmtId="0" fontId="1" fillId="4" borderId="1" xfId="3" applyFont="1" applyFill="1" applyBorder="1" applyAlignment="1" applyProtection="1">
      <alignment horizontal="center"/>
      <protection hidden="1"/>
    </xf>
    <xf numFmtId="0" fontId="4" fillId="0" borderId="18" xfId="3" applyFont="1" applyBorder="1" applyAlignment="1" applyProtection="1">
      <alignment horizontal="center"/>
      <protection hidden="1"/>
    </xf>
    <xf numFmtId="165" fontId="4" fillId="5" borderId="18" xfId="3" applyNumberFormat="1" applyFont="1" applyFill="1" applyBorder="1" applyAlignment="1" applyProtection="1">
      <alignment horizontal="right" vertical="center"/>
      <protection hidden="1"/>
    </xf>
    <xf numFmtId="165" fontId="4" fillId="5" borderId="18" xfId="3" applyNumberFormat="1" applyFont="1" applyFill="1" applyBorder="1" applyAlignment="1" applyProtection="1">
      <alignment horizontal="center" vertical="center"/>
      <protection hidden="1"/>
    </xf>
    <xf numFmtId="0" fontId="4" fillId="0" borderId="18" xfId="3" applyFont="1" applyBorder="1" applyAlignment="1" applyProtection="1">
      <alignment horizontal="center" vertical="center"/>
      <protection hidden="1"/>
    </xf>
    <xf numFmtId="171" fontId="4" fillId="5" borderId="18" xfId="3" applyNumberFormat="1" applyFont="1" applyFill="1" applyBorder="1" applyAlignment="1" applyProtection="1">
      <alignment horizontal="center" vertical="center"/>
      <protection hidden="1"/>
    </xf>
    <xf numFmtId="0" fontId="1" fillId="0" borderId="11" xfId="3" applyFont="1" applyBorder="1" applyAlignment="1" applyProtection="1">
      <alignment horizontal="left" indent="1"/>
      <protection hidden="1"/>
    </xf>
    <xf numFmtId="165" fontId="1" fillId="4" borderId="11" xfId="3" applyNumberFormat="1" applyFont="1" applyFill="1" applyBorder="1" applyAlignment="1" applyProtection="1">
      <alignment horizontal="center" vertical="center"/>
      <protection hidden="1"/>
    </xf>
    <xf numFmtId="170" fontId="1" fillId="0" borderId="11" xfId="3" applyNumberFormat="1" applyFont="1" applyBorder="1" applyAlignment="1" applyProtection="1">
      <alignment horizontal="center" vertical="center"/>
      <protection hidden="1"/>
    </xf>
    <xf numFmtId="165" fontId="1" fillId="0" borderId="11" xfId="3" applyNumberFormat="1" applyFont="1" applyBorder="1" applyAlignment="1" applyProtection="1">
      <alignment horizontal="center" vertical="center"/>
      <protection hidden="1"/>
    </xf>
    <xf numFmtId="2" fontId="1" fillId="0" borderId="11" xfId="3" applyNumberFormat="1" applyFont="1" applyBorder="1" applyAlignment="1" applyProtection="1">
      <alignment horizontal="center" vertical="center"/>
      <protection hidden="1"/>
    </xf>
    <xf numFmtId="0" fontId="1" fillId="0" borderId="11" xfId="3" applyFont="1" applyBorder="1" applyAlignment="1" applyProtection="1">
      <alignment horizontal="left" vertical="center" inden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18" fillId="0" borderId="1" xfId="3" applyFont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horizontal="left" vertical="center" wrapText="1"/>
      <protection hidden="1"/>
    </xf>
    <xf numFmtId="0" fontId="4" fillId="0" borderId="2" xfId="3" applyFont="1" applyBorder="1" applyAlignment="1" applyProtection="1">
      <alignment horizontal="center" vertical="center" wrapText="1"/>
      <protection hidden="1"/>
    </xf>
    <xf numFmtId="0" fontId="4" fillId="3" borderId="2" xfId="3" applyFont="1" applyFill="1" applyBorder="1" applyAlignment="1" applyProtection="1">
      <alignment horizontal="center" vertical="center"/>
      <protection locked="0"/>
    </xf>
    <xf numFmtId="0" fontId="1" fillId="0" borderId="2" xfId="3" applyFont="1" applyBorder="1" applyAlignment="1" applyProtection="1">
      <alignment horizontal="left"/>
      <protection hidden="1"/>
    </xf>
    <xf numFmtId="0" fontId="1" fillId="7" borderId="0" xfId="3" applyFont="1" applyFill="1" applyBorder="1" applyAlignment="1" applyProtection="1">
      <alignment horizontal="left"/>
      <protection hidden="1"/>
    </xf>
    <xf numFmtId="0" fontId="4" fillId="0" borderId="1" xfId="3" applyFont="1" applyBorder="1" applyAlignment="1" applyProtection="1">
      <alignment horizontal="center" vertical="center" wrapText="1"/>
      <protection hidden="1"/>
    </xf>
    <xf numFmtId="0" fontId="4" fillId="7" borderId="0" xfId="3" applyFont="1" applyFill="1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left"/>
      <protection hidden="1"/>
    </xf>
    <xf numFmtId="0" fontId="1" fillId="0" borderId="1" xfId="3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indent="4"/>
      <protection hidden="1"/>
    </xf>
  </cellXfs>
  <cellStyles count="4">
    <cellStyle name="Гиперссылка" xfId="2" builtinId="8"/>
    <cellStyle name="Обычный" xfId="0" builtinId="0"/>
    <cellStyle name="Пояснение" xfId="3" builtinId="53"/>
    <cellStyle name="Финансовый" xfId="1" builtinId="3"/>
  </cellStyles>
  <dxfs count="11">
    <dxf>
      <fill>
        <patternFill patternType="solid">
          <bgColor rgb="FFDCE6F2"/>
        </patternFill>
      </fill>
    </dxf>
    <dxf>
      <fill>
        <patternFill patternType="solid">
          <bgColor rgb="FFDCE6F2"/>
        </patternFill>
      </fill>
    </dxf>
    <dxf>
      <fill>
        <patternFill patternType="solid">
          <bgColor rgb="FFDCE6F2"/>
        </patternFill>
      </fill>
    </dxf>
    <dxf>
      <fill>
        <patternFill patternType="solid">
          <bgColor rgb="FFDCE6F2"/>
        </patternFill>
      </fill>
    </dxf>
    <dxf>
      <fill>
        <patternFill patternType="solid">
          <bgColor rgb="FFDCE6F2"/>
        </patternFill>
      </fill>
    </dxf>
    <dxf>
      <fill>
        <patternFill patternType="solid">
          <bgColor rgb="FFDCE6F2"/>
        </patternFill>
      </fill>
    </dxf>
    <dxf>
      <fill>
        <patternFill patternType="solid">
          <bgColor rgb="FFDCE6F2"/>
        </patternFill>
      </fill>
    </dxf>
    <dxf>
      <fill>
        <patternFill patternType="solid">
          <bgColor rgb="FFDCE6F2"/>
        </patternFill>
      </fill>
    </dxf>
    <dxf>
      <fill>
        <patternFill patternType="solid">
          <bgColor rgb="FFDCE6F2"/>
        </patternFill>
      </fill>
    </dxf>
    <dxf>
      <fill>
        <patternFill patternType="solid">
          <bgColor rgb="FFDCE6F2"/>
        </patternFill>
      </fill>
    </dxf>
    <dxf>
      <fill>
        <patternFill patternType="solid">
          <bgColor rgb="FFDCE6F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E7"/>
      <rgbColor rgb="00DCE6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4F81BD"/>
      <rgbColor rgb="00969696"/>
      <rgbColor rgb="00003366"/>
      <rgbColor rgb="0000B050"/>
      <rgbColor rgb="00003300"/>
      <rgbColor rgb="001E1E1E"/>
      <rgbColor rgb="00993300"/>
      <rgbColor rgb="00993366"/>
      <rgbColor rgb="00333399"/>
      <rgbColor rgb="00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2</xdr:col>
      <xdr:colOff>19051</xdr:colOff>
      <xdr:row>1</xdr:row>
      <xdr:rowOff>158369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C9F97C4-ED64-461A-B8F5-F5E0B326B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514600" cy="463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171451</xdr:colOff>
      <xdr:row>18</xdr:row>
      <xdr:rowOff>142875</xdr:rowOff>
    </xdr:from>
    <xdr:to>
      <xdr:col>7</xdr:col>
      <xdr:colOff>695326</xdr:colOff>
      <xdr:row>29</xdr:row>
      <xdr:rowOff>100251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9E98CEEB-74F5-4923-BBA9-C0D7BEA30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3971925"/>
          <a:ext cx="5619750" cy="2052876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752475</xdr:colOff>
      <xdr:row>1</xdr:row>
      <xdr:rowOff>158369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6640A11B-8670-4F2D-AA18-BA1109030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4600" cy="4631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21</xdr:row>
      <xdr:rowOff>28576</xdr:rowOff>
    </xdr:from>
    <xdr:to>
      <xdr:col>8</xdr:col>
      <xdr:colOff>0</xdr:colOff>
      <xdr:row>1048576</xdr:row>
      <xdr:rowOff>23658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42158F6-EBE8-48AD-8358-446D975DD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35" y="4439479"/>
          <a:ext cx="5201478" cy="1900082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266700</xdr:colOff>
      <xdr:row>1</xdr:row>
      <xdr:rowOff>158369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5D039935-FBAB-4635-BA7B-A599E71FD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4600" cy="4631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596348</xdr:colOff>
      <xdr:row>1048576</xdr:row>
      <xdr:rowOff>23920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237359A-ABCE-446C-A3EF-6BF49F290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52" y="4406348"/>
          <a:ext cx="4911587" cy="2492137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400050</xdr:colOff>
      <xdr:row>1</xdr:row>
      <xdr:rowOff>158369</xdr:rowOff>
    </xdr:to>
    <xdr:pic>
      <xdr:nvPicPr>
        <xdr:cNvPr id="239" name="Рисунок 238">
          <a:extLst>
            <a:ext uri="{FF2B5EF4-FFF2-40B4-BE49-F238E27FC236}">
              <a16:creationId xmlns:a16="http://schemas.microsoft.com/office/drawing/2014/main" id="{9EF94E02-BB82-4063-85C7-AEF30C7C2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4600" cy="4631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400050</xdr:colOff>
      <xdr:row>1</xdr:row>
      <xdr:rowOff>158369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6210DAD-AA34-4B2A-B3E2-E1F1D7D15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4600" cy="4631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9</xdr:col>
      <xdr:colOff>34373</xdr:colOff>
      <xdr:row>1048576</xdr:row>
      <xdr:rowOff>14395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723FD7B-C1F4-4112-A46A-97D0E60BD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371975"/>
          <a:ext cx="4911173" cy="24908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342900</xdr:colOff>
      <xdr:row>1</xdr:row>
      <xdr:rowOff>158369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46CD09C-2BED-40F8-92B1-75DA51854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4600" cy="463169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19</xdr:row>
      <xdr:rowOff>125142</xdr:rowOff>
    </xdr:from>
    <xdr:to>
      <xdr:col>7</xdr:col>
      <xdr:colOff>274682</xdr:colOff>
      <xdr:row>28</xdr:row>
      <xdr:rowOff>212910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5A16ACE-BE0B-441E-8E87-B99A4B34D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37701"/>
          <a:ext cx="4734623" cy="21160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381000</xdr:colOff>
      <xdr:row>1</xdr:row>
      <xdr:rowOff>158369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C5D4D65-1B42-4741-903D-FE71222D5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4600" cy="463169"/>
        </a:xfrm>
        <a:prstGeom prst="rect">
          <a:avLst/>
        </a:prstGeom>
      </xdr:spPr>
    </xdr:pic>
    <xdr:clientData/>
  </xdr:twoCellAnchor>
  <xdr:twoCellAnchor editAs="absolute">
    <xdr:from>
      <xdr:col>3</xdr:col>
      <xdr:colOff>1252254</xdr:colOff>
      <xdr:row>17</xdr:row>
      <xdr:rowOff>4964</xdr:rowOff>
    </xdr:from>
    <xdr:to>
      <xdr:col>7</xdr:col>
      <xdr:colOff>65240</xdr:colOff>
      <xdr:row>28</xdr:row>
      <xdr:rowOff>152480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F54676E-42E2-4B42-AA9C-A6AC7A494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5454" y="2833889"/>
          <a:ext cx="1546661" cy="1928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4964</xdr:rowOff>
    </xdr:from>
    <xdr:to>
      <xdr:col>3</xdr:col>
      <xdr:colOff>1266825</xdr:colOff>
      <xdr:row>1048576</xdr:row>
      <xdr:rowOff>51755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87EF84B-B318-4FCC-B8E5-2973BF9A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33889"/>
          <a:ext cx="4010025" cy="3771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$/work$/@GMT-2023.12.27-09.00.30/&#1055;&#1086;&#1090;&#1086;&#1083;&#1086;&#1095;&#1085;&#1099;&#1077;%20&#1089;&#1080;&#1089;&#1090;&#1077;&#1084;&#1099;/&#1050;&#1072;&#1083;&#1100;&#1082;&#1091;&#1083;&#1103;&#1090;&#1086;&#1088;%20&#1076;&#1083;&#1103;%20&#1088;&#1072;&#1089;&#1095;&#1077;&#1090;&#1072;/&#1050;&#1072;&#1083;&#1100;&#1082;&#1091;&#1083;&#1103;&#1090;&#1086;&#1088;%20&#1088;&#1072;&#1089;&#1095;&#1077;&#1090;&#1072;%20&#1082;&#1086;&#1083;&#1080;&#1095;&#1077;&#1089;&#1090;&#1074;&#1072;%20&#1082;&#1086;&#1084;&#1087;&#1083;&#1077;&#1082;&#1090;&#1091;&#1102;&#1097;&#1080;&#10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Т-профиль"/>
      <sheetName val="Кассетный потолок"/>
      <sheetName val="Грильято"/>
      <sheetName val="Рейка"/>
      <sheetName val="Кубота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MK25"/>
  <sheetViews>
    <sheetView showGridLines="0" tabSelected="1" zoomScaleNormal="100" workbookViewId="0"/>
  </sheetViews>
  <sheetFormatPr defaultColWidth="0" defaultRowHeight="15" zeroHeight="1" x14ac:dyDescent="0.25"/>
  <cols>
    <col min="1" max="1" width="2.85546875" style="42" customWidth="1"/>
    <col min="2" max="2" width="34.5703125" style="42" customWidth="1"/>
    <col min="3" max="3" width="13.7109375" style="42" customWidth="1"/>
    <col min="4" max="4" width="9.140625" style="42" hidden="1" customWidth="1"/>
    <col min="5" max="18" width="11.5703125" style="42" hidden="1" customWidth="1"/>
    <col min="19" max="1025" width="9.140625" style="42" hidden="1" customWidth="1"/>
    <col min="1026" max="16384" width="9.140625" hidden="1"/>
  </cols>
  <sheetData>
    <row r="1" spans="2:4" ht="24" customHeight="1" x14ac:dyDescent="0.25"/>
    <row r="2" spans="2:4" ht="24" customHeight="1" x14ac:dyDescent="0.25"/>
    <row r="3" spans="2:4" ht="15.75" x14ac:dyDescent="0.25">
      <c r="B3" s="208" t="s">
        <v>0</v>
      </c>
    </row>
    <row r="4" spans="2:4" ht="35.25" customHeight="1" x14ac:dyDescent="0.25">
      <c r="B4" s="293" t="s">
        <v>145</v>
      </c>
      <c r="C4" s="293"/>
      <c r="D4" s="291"/>
    </row>
    <row r="5" spans="2:4" x14ac:dyDescent="0.25">
      <c r="B5" s="225"/>
    </row>
    <row r="6" spans="2:4" ht="15" customHeight="1" x14ac:dyDescent="0.25">
      <c r="B6" s="226" t="s">
        <v>1</v>
      </c>
    </row>
    <row r="7" spans="2:4" ht="15" customHeight="1" x14ac:dyDescent="0.25">
      <c r="B7" s="302" t="s">
        <v>167</v>
      </c>
    </row>
    <row r="8" spans="2:4" ht="15" customHeight="1" x14ac:dyDescent="0.25">
      <c r="B8" s="227" t="s">
        <v>162</v>
      </c>
    </row>
    <row r="9" spans="2:4" ht="15" customHeight="1" x14ac:dyDescent="0.25">
      <c r="B9" s="227" t="s">
        <v>163</v>
      </c>
    </row>
    <row r="10" spans="2:4" ht="15" customHeight="1" x14ac:dyDescent="0.25">
      <c r="B10" s="227" t="s">
        <v>164</v>
      </c>
    </row>
    <row r="11" spans="2:4" ht="15" customHeight="1" x14ac:dyDescent="0.25">
      <c r="B11" s="227" t="s">
        <v>165</v>
      </c>
    </row>
    <row r="12" spans="2:4" ht="15" customHeight="1" x14ac:dyDescent="0.25">
      <c r="B12" s="226" t="s">
        <v>2</v>
      </c>
    </row>
    <row r="13" spans="2:4" ht="15" customHeight="1" x14ac:dyDescent="0.25">
      <c r="B13" s="227" t="s">
        <v>3</v>
      </c>
    </row>
    <row r="14" spans="2:4" ht="15" customHeight="1" x14ac:dyDescent="0.25">
      <c r="B14" s="227" t="s">
        <v>4</v>
      </c>
    </row>
    <row r="15" spans="2:4" ht="15" customHeight="1" x14ac:dyDescent="0.25">
      <c r="B15" s="227" t="s">
        <v>5</v>
      </c>
    </row>
    <row r="16" spans="2:4" ht="15" customHeight="1" x14ac:dyDescent="0.25">
      <c r="B16" s="226" t="s">
        <v>6</v>
      </c>
    </row>
    <row r="17" spans="2:2" ht="15" customHeight="1" x14ac:dyDescent="0.25">
      <c r="B17" s="227" t="s">
        <v>7</v>
      </c>
    </row>
    <row r="18" spans="2:2" ht="15" customHeight="1" x14ac:dyDescent="0.25">
      <c r="B18" s="227" t="s">
        <v>8</v>
      </c>
    </row>
    <row r="19" spans="2:2" ht="15" customHeight="1" x14ac:dyDescent="0.25">
      <c r="B19" s="227" t="s">
        <v>9</v>
      </c>
    </row>
    <row r="20" spans="2:2" ht="15" customHeight="1" x14ac:dyDescent="0.25">
      <c r="B20" s="226" t="s">
        <v>144</v>
      </c>
    </row>
    <row r="21" spans="2:2" x14ac:dyDescent="0.25">
      <c r="B21" s="227" t="s">
        <v>7</v>
      </c>
    </row>
    <row r="22" spans="2:2" x14ac:dyDescent="0.25">
      <c r="B22" s="227" t="s">
        <v>8</v>
      </c>
    </row>
    <row r="23" spans="2:2" x14ac:dyDescent="0.25">
      <c r="B23" s="226" t="s">
        <v>10</v>
      </c>
    </row>
    <row r="24" spans="2:2" x14ac:dyDescent="0.25">
      <c r="B24" s="226" t="s">
        <v>148</v>
      </c>
    </row>
    <row r="25" spans="2:2" x14ac:dyDescent="0.25">
      <c r="B25" s="227"/>
    </row>
  </sheetData>
  <mergeCells count="1">
    <mergeCell ref="B4:C4"/>
  </mergeCells>
  <hyperlinks>
    <hyperlink ref="B6" location="'Т-профиль'!A1" display="Подвесная система" xr:uid="{00000000-0004-0000-0000-000000000000}"/>
    <hyperlink ref="B12" location="'Кассетный потолок'!A1" display="Кассетный потолок" xr:uid="{00000000-0004-0000-0000-000001000000}"/>
    <hyperlink ref="B16" location="'Грильято'!A1" display="Грильято" xr:uid="{00000000-0004-0000-0000-000002000000}"/>
    <hyperlink ref="B23" location="'Рейка'!A1" display="Реечный потолок" xr:uid="{00000000-0004-0000-0000-000003000000}"/>
    <hyperlink ref="B20" location="'Грильято цинк'!A1" display="Грильято цинк" xr:uid="{64272AD2-8280-47ED-941F-2E5A25E4013C}"/>
    <hyperlink ref="B24" location="Кубота!A1" display="Кубообразный" xr:uid="{CBE07937-C246-4409-AC5C-90AC8547F74A}"/>
  </hyperlinks>
  <pageMargins left="0.7" right="0.7" top="0.75" bottom="0.75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MK65"/>
  <sheetViews>
    <sheetView showGridLines="0" zoomScaleNormal="100" workbookViewId="0"/>
  </sheetViews>
  <sheetFormatPr defaultColWidth="0" defaultRowHeight="15" zeroHeight="1" x14ac:dyDescent="0.25"/>
  <cols>
    <col min="1" max="1" width="2.85546875" style="42" customWidth="1"/>
    <col min="2" max="2" width="23.5703125" style="42" customWidth="1"/>
    <col min="3" max="3" width="14.5703125" style="42" customWidth="1"/>
    <col min="4" max="6" width="9.28515625" style="42" customWidth="1"/>
    <col min="7" max="7" width="7.5703125" style="42" customWidth="1"/>
    <col min="8" max="8" width="11.28515625" style="42" customWidth="1"/>
    <col min="9" max="9" width="5" style="42" customWidth="1"/>
    <col min="10" max="11" width="9.140625" style="42" hidden="1"/>
    <col min="12" max="12" width="19.42578125" style="42" hidden="1"/>
    <col min="13" max="1025" width="9.140625" style="42" hidden="1"/>
    <col min="1026" max="16384" width="9.140625" hidden="1"/>
  </cols>
  <sheetData>
    <row r="1" spans="2:8" ht="24" customHeight="1" x14ac:dyDescent="0.25"/>
    <row r="2" spans="2:8" ht="24" customHeight="1" x14ac:dyDescent="0.25"/>
    <row r="3" spans="2:8" ht="15.75" x14ac:dyDescent="0.25">
      <c r="B3" s="208" t="s">
        <v>11</v>
      </c>
      <c r="H3" s="209">
        <f>CEILING(VLOOKUP(C5,$B$37:$J$41,3,0)*C6,110.4)</f>
        <v>1766.4</v>
      </c>
    </row>
    <row r="4" spans="2:8" x14ac:dyDescent="0.25"/>
    <row r="5" spans="2:8" x14ac:dyDescent="0.25">
      <c r="B5" s="128" t="s">
        <v>12</v>
      </c>
      <c r="C5" s="159" t="s">
        <v>166</v>
      </c>
      <c r="D5" s="130" t="s">
        <v>13</v>
      </c>
      <c r="F5" s="79"/>
      <c r="G5" s="79"/>
      <c r="H5" s="79"/>
    </row>
    <row r="6" spans="2:8" x14ac:dyDescent="0.25">
      <c r="B6" s="128" t="s">
        <v>14</v>
      </c>
      <c r="C6" s="159">
        <v>1000</v>
      </c>
      <c r="D6" s="131" t="s">
        <v>15</v>
      </c>
      <c r="F6" s="79"/>
      <c r="G6" s="79"/>
      <c r="H6" s="79"/>
    </row>
    <row r="7" spans="2:8" ht="17.25" customHeight="1" x14ac:dyDescent="0.25">
      <c r="B7" s="46"/>
      <c r="C7" s="46"/>
      <c r="D7" s="47"/>
      <c r="E7" s="47"/>
      <c r="F7" s="47"/>
      <c r="G7" s="47"/>
      <c r="H7" s="47"/>
    </row>
    <row r="8" spans="2:8" ht="25.5" customHeight="1" x14ac:dyDescent="0.25">
      <c r="B8" s="294" t="s">
        <v>16</v>
      </c>
      <c r="C8" s="294" t="s">
        <v>17</v>
      </c>
      <c r="D8" s="294"/>
      <c r="E8" s="294"/>
      <c r="F8" s="132" t="s">
        <v>18</v>
      </c>
      <c r="G8" s="132" t="s">
        <v>19</v>
      </c>
      <c r="H8" s="132" t="s">
        <v>20</v>
      </c>
    </row>
    <row r="9" spans="2:8" x14ac:dyDescent="0.25">
      <c r="B9" s="294"/>
      <c r="C9" s="12" t="s">
        <v>21</v>
      </c>
      <c r="D9" s="12" t="s">
        <v>22</v>
      </c>
      <c r="E9" s="12" t="s">
        <v>23</v>
      </c>
      <c r="F9" s="132" t="s">
        <v>24</v>
      </c>
      <c r="G9" s="132" t="s">
        <v>21</v>
      </c>
      <c r="H9" s="132" t="s">
        <v>25</v>
      </c>
    </row>
    <row r="10" spans="2:8" x14ac:dyDescent="0.25">
      <c r="B10" s="13" t="s">
        <v>26</v>
      </c>
      <c r="C10" s="16">
        <f>CEILING(D10/3.6,1)</f>
        <v>240</v>
      </c>
      <c r="D10" s="210">
        <f>IF(C5="Slim Т-15",CEILING(VLOOKUP(C5,$B$37:$J$41,4,0)*C6,108),CEILING(VLOOKUP(C5,$B$37:$J$41,4,0)*C6,72))</f>
        <v>864</v>
      </c>
      <c r="E10" s="16">
        <f>CEILING(C10/(VLOOKUP(C5,$B$45:$J$49,4,0)),1)</f>
        <v>12</v>
      </c>
      <c r="F10" s="81">
        <f>E10*VLOOKUP(C5,$B$53:$J$57,4,0)</f>
        <v>127.44</v>
      </c>
      <c r="G10" s="211">
        <f>CEILING(E10/60,0.1)</f>
        <v>0.2</v>
      </c>
      <c r="H10" s="166">
        <f>E10*VLOOKUP(C5,$B$61:$J$65,4,0)</f>
        <v>0.16800000000000001</v>
      </c>
    </row>
    <row r="11" spans="2:8" x14ac:dyDescent="0.25">
      <c r="B11" s="13" t="s">
        <v>27</v>
      </c>
      <c r="C11" s="16">
        <f>CEILING(D11/1.2,1)</f>
        <v>1440</v>
      </c>
      <c r="D11" s="212">
        <f>IF(C5="Slim Т-15",CEILING(VLOOKUP(C5,$B$37:$J$41,3,0)*C6,110.4),CEILING(VLOOKUP(C5,$B$37:$J$41,3,0)*C6,72))</f>
        <v>1728</v>
      </c>
      <c r="E11" s="16">
        <f>CEILING(C11/(VLOOKUP(C5,$B$45:$J$49,3,0)),1)</f>
        <v>24</v>
      </c>
      <c r="F11" s="81">
        <f>E11*VLOOKUP(C5,$B$53:$J$57,3,0)</f>
        <v>237.84</v>
      </c>
      <c r="G11" s="211">
        <f>CEILING(E11/80,0.1)</f>
        <v>0.30000000000000004</v>
      </c>
      <c r="H11" s="166">
        <f>E11*VLOOKUP(C5,$B$61:$J$65,3,0)</f>
        <v>0.33600000000000002</v>
      </c>
    </row>
    <row r="12" spans="2:8" x14ac:dyDescent="0.25">
      <c r="B12" s="13" t="s">
        <v>28</v>
      </c>
      <c r="C12" s="16">
        <f>CEILING(D12/0.6,1)</f>
        <v>1440</v>
      </c>
      <c r="D12" s="212">
        <f>IF(C5="Slim Т-15",CEILING(VLOOKUP(C5,$B$37:$J$41,2,0)*C6,55.2),CEILING(VLOOKUP(C5,$B$37:$J$41,2,0)*C6,36))</f>
        <v>864</v>
      </c>
      <c r="E12" s="16">
        <f>CEILING(C12/(VLOOKUP(C5,$B$45:$J$49,2,0)),1)</f>
        <v>24</v>
      </c>
      <c r="F12" s="81">
        <f>E12*VLOOKUP(C5,$B$53:$J$57,2,0)</f>
        <v>104.85599999999999</v>
      </c>
      <c r="G12" s="211">
        <f>CEILING(E12/80,0.1)</f>
        <v>0.30000000000000004</v>
      </c>
      <c r="H12" s="166">
        <f>E12*VLOOKUP(C5,$B$61:$J$65,2,0)</f>
        <v>0.14400000000000002</v>
      </c>
    </row>
    <row r="13" spans="2:8" x14ac:dyDescent="0.25">
      <c r="B13" s="13" t="s">
        <v>29</v>
      </c>
      <c r="C13" s="16">
        <f>CEILING(D13/3,1)</f>
        <v>270</v>
      </c>
      <c r="D13" s="15">
        <f>CEILING(VLOOKUP(C5,$B$37:$J$41,6,0)*C6,135)</f>
        <v>810</v>
      </c>
      <c r="E13" s="16">
        <f>CEILING(C13/(VLOOKUP(C5,$B$45:$J$49,6,0)),1)</f>
        <v>6</v>
      </c>
      <c r="F13" s="81">
        <f>E13*VLOOKUP(C5,$B$53:$J$57,6,0)</f>
        <v>69</v>
      </c>
      <c r="G13" s="211">
        <f>CEILING(E13/45,0.1)</f>
        <v>0.2</v>
      </c>
      <c r="H13" s="166">
        <f>E13*VLOOKUP(C5,$B$61:$J$65,6,0)</f>
        <v>0.15000000000000002</v>
      </c>
    </row>
    <row r="14" spans="2:8" x14ac:dyDescent="0.25">
      <c r="B14" s="13" t="s">
        <v>30</v>
      </c>
      <c r="C14" s="15">
        <f>CEILING(VLOOKUP(C5,$B$37:$J$41,5,0)*C6,100)</f>
        <v>700</v>
      </c>
      <c r="D14" s="16" t="s">
        <v>31</v>
      </c>
      <c r="E14" s="16">
        <f>CEILING(C14/(VLOOKUP(C5,$B$45:$J$49,5,0)),1)</f>
        <v>7</v>
      </c>
      <c r="F14" s="81">
        <f>E14*VLOOKUP(C5,$B$53:$J$57,5,0)</f>
        <v>18.2</v>
      </c>
      <c r="G14" s="211">
        <f>CEILING(E14/162,0.1)</f>
        <v>0.1</v>
      </c>
      <c r="H14" s="166">
        <f>E14*VLOOKUP(C5,$B$61:$J$65,5,0)</f>
        <v>7.0000000000000007E-2</v>
      </c>
    </row>
    <row r="15" spans="2:8" x14ac:dyDescent="0.25">
      <c r="B15" s="13" t="s">
        <v>32</v>
      </c>
      <c r="C15" s="15">
        <f>CEILING(VLOOKUP(C5,$B$37:$J$41,7,0)*C6,100)</f>
        <v>700</v>
      </c>
      <c r="D15" s="16" t="s">
        <v>31</v>
      </c>
      <c r="E15" s="16">
        <f>CEILING(C15/(VLOOKUP(C5,$B$45:$J$49,7,0)),1)</f>
        <v>7</v>
      </c>
      <c r="F15" s="81">
        <f>E15*VLOOKUP(C5,$B$53:$J$57,7,0)</f>
        <v>9.1</v>
      </c>
      <c r="G15" s="211"/>
      <c r="H15" s="166">
        <f>E15*VLOOKUP(C5,$B$61:$J$65,7,0)</f>
        <v>4.1999999999999997E-3</v>
      </c>
    </row>
    <row r="16" spans="2:8" x14ac:dyDescent="0.25">
      <c r="B16" s="13" t="s">
        <v>33</v>
      </c>
      <c r="C16" s="15">
        <f>CEILING(VLOOKUP(C5,$B$37:$J$41,8,0)*C6,1)</f>
        <v>200</v>
      </c>
      <c r="D16" s="16" t="s">
        <v>31</v>
      </c>
      <c r="E16" s="16">
        <f>CEILING(C16/(VLOOKUP(C5,$B$45:$J$49,8,0)),1)</f>
        <v>20</v>
      </c>
      <c r="F16" s="81">
        <f>E16*VLOOKUP(C5,$B$53:$J$57,8,0)</f>
        <v>140</v>
      </c>
      <c r="G16" s="211"/>
      <c r="H16" s="166">
        <f>E16*VLOOKUP(C5,$B$61:$J$65,8,0)</f>
        <v>0.6</v>
      </c>
    </row>
    <row r="17" spans="2:8" x14ac:dyDescent="0.25">
      <c r="B17" s="141" t="s">
        <v>34</v>
      </c>
      <c r="C17" s="20">
        <f>CEILING(VLOOKUP(C5,$B$37:$J$41,9,0)*C6,20)</f>
        <v>2780</v>
      </c>
      <c r="D17" s="194" t="s">
        <v>31</v>
      </c>
      <c r="E17" s="19">
        <f>CEILING(C17/(VLOOKUP(C5,$B$45:$J$49,9,0)),1)</f>
        <v>139</v>
      </c>
      <c r="F17" s="174">
        <f>E17*VLOOKUP(C5,$B$53:$J$57,9,0)</f>
        <v>2502</v>
      </c>
      <c r="G17" s="134">
        <f>CEILING(E17/40,0.1)</f>
        <v>3.5</v>
      </c>
      <c r="H17" s="176">
        <f>E17*VLOOKUP(C5,$B$61:$J$65,9,0)</f>
        <v>13.9</v>
      </c>
    </row>
    <row r="18" spans="2:8" x14ac:dyDescent="0.25">
      <c r="B18" s="24" t="s">
        <v>35</v>
      </c>
      <c r="C18" s="213"/>
      <c r="D18" s="214"/>
      <c r="E18" s="26">
        <f>SUM(E10:E17)</f>
        <v>239</v>
      </c>
      <c r="F18" s="215">
        <f>SUM(F10:F17)</f>
        <v>3208.4360000000001</v>
      </c>
      <c r="G18" s="216">
        <f>SUM(G10:G17)</f>
        <v>4.5999999999999996</v>
      </c>
      <c r="H18" s="217">
        <f>SUM(H10:H17)</f>
        <v>15.372199999999999</v>
      </c>
    </row>
    <row r="19" spans="2:8" x14ac:dyDescent="0.25">
      <c r="B19" s="47"/>
      <c r="C19" s="47"/>
      <c r="D19" s="47"/>
      <c r="E19" s="47"/>
      <c r="F19" s="47"/>
      <c r="G19" s="47"/>
      <c r="H19" s="47"/>
    </row>
    <row r="20" spans="2:8" x14ac:dyDescent="0.25">
      <c r="B20" s="47"/>
      <c r="C20" s="47"/>
      <c r="D20" s="47"/>
      <c r="E20" s="47"/>
      <c r="F20" s="47"/>
      <c r="G20" s="47"/>
      <c r="H20" s="47"/>
    </row>
    <row r="21" spans="2:8" x14ac:dyDescent="0.25">
      <c r="B21" s="47"/>
      <c r="C21" s="47"/>
      <c r="D21" s="47"/>
      <c r="E21" s="47"/>
      <c r="F21" s="47"/>
      <c r="G21" s="47"/>
      <c r="H21" s="47"/>
    </row>
    <row r="22" spans="2:8" x14ac:dyDescent="0.25">
      <c r="B22" s="47"/>
      <c r="C22" s="47"/>
      <c r="D22" s="47"/>
      <c r="E22" s="47"/>
      <c r="F22" s="47"/>
      <c r="G22" s="47"/>
      <c r="H22" s="47"/>
    </row>
    <row r="23" spans="2:8" x14ac:dyDescent="0.25">
      <c r="B23" s="47"/>
      <c r="C23" s="47"/>
      <c r="D23" s="47"/>
      <c r="E23" s="47"/>
      <c r="F23" s="47"/>
      <c r="G23" s="47"/>
      <c r="H23" s="47"/>
    </row>
    <row r="24" spans="2:8" x14ac:dyDescent="0.25">
      <c r="B24" s="47"/>
      <c r="C24" s="47"/>
      <c r="D24" s="47"/>
      <c r="E24" s="47"/>
      <c r="F24" s="47"/>
      <c r="G24" s="47"/>
      <c r="H24" s="47"/>
    </row>
    <row r="25" spans="2:8" x14ac:dyDescent="0.25">
      <c r="B25" s="47"/>
      <c r="C25" s="47"/>
      <c r="D25" s="47"/>
      <c r="E25" s="47"/>
      <c r="F25" s="47"/>
      <c r="G25" s="47"/>
      <c r="H25" s="47"/>
    </row>
    <row r="26" spans="2:8" x14ac:dyDescent="0.25">
      <c r="B26" s="47"/>
      <c r="C26" s="47"/>
      <c r="D26" s="47"/>
      <c r="E26" s="47"/>
      <c r="F26" s="47"/>
      <c r="G26" s="47"/>
      <c r="H26" s="47"/>
    </row>
    <row r="27" spans="2:8" x14ac:dyDescent="0.25">
      <c r="B27" s="47"/>
      <c r="C27" s="47"/>
      <c r="D27" s="47"/>
      <c r="E27" s="47"/>
      <c r="F27" s="47"/>
      <c r="G27" s="47"/>
      <c r="H27" s="47"/>
    </row>
    <row r="28" spans="2:8" x14ac:dyDescent="0.25">
      <c r="B28" s="47"/>
      <c r="C28" s="47"/>
      <c r="D28" s="47"/>
      <c r="E28" s="47"/>
      <c r="F28" s="47"/>
      <c r="G28" s="47"/>
      <c r="H28" s="47"/>
    </row>
    <row r="29" spans="2:8" x14ac:dyDescent="0.25">
      <c r="B29" s="47"/>
      <c r="C29" s="47"/>
      <c r="D29" s="47"/>
      <c r="E29" s="47"/>
      <c r="F29" s="47"/>
      <c r="G29" s="47"/>
      <c r="H29" s="47"/>
    </row>
    <row r="30" spans="2:8" x14ac:dyDescent="0.25">
      <c r="B30" s="47"/>
      <c r="C30" s="47"/>
      <c r="D30" s="47"/>
      <c r="E30" s="47"/>
      <c r="F30" s="47"/>
      <c r="G30" s="47"/>
      <c r="H30" s="47"/>
    </row>
    <row r="31" spans="2:8" hidden="1" x14ac:dyDescent="0.25">
      <c r="B31" s="47"/>
      <c r="C31" s="47"/>
      <c r="D31" s="47"/>
      <c r="E31" s="47"/>
      <c r="F31" s="47"/>
      <c r="G31" s="47"/>
      <c r="H31" s="47"/>
    </row>
    <row r="32" spans="2:8" hidden="1" x14ac:dyDescent="0.25">
      <c r="B32" s="47"/>
      <c r="C32" s="47"/>
      <c r="D32" s="47"/>
      <c r="E32" s="47"/>
      <c r="F32" s="47"/>
      <c r="G32" s="47"/>
      <c r="H32" s="47"/>
    </row>
    <row r="33" spans="2:10" hidden="1" x14ac:dyDescent="0.25">
      <c r="B33" s="47"/>
      <c r="C33" s="47"/>
      <c r="D33" s="47"/>
      <c r="E33" s="47"/>
      <c r="F33" s="47"/>
      <c r="G33" s="47"/>
      <c r="H33" s="47"/>
    </row>
    <row r="34" spans="2:10" hidden="1" x14ac:dyDescent="0.25">
      <c r="B34" s="88" t="s">
        <v>36</v>
      </c>
    </row>
    <row r="35" spans="2:10" hidden="1" x14ac:dyDescent="0.25">
      <c r="B35" s="66" t="s">
        <v>37</v>
      </c>
      <c r="C35" s="66"/>
      <c r="D35" s="66"/>
    </row>
    <row r="36" spans="2:10" ht="36.75" hidden="1" customHeight="1" x14ac:dyDescent="0.25">
      <c r="B36" s="37" t="s">
        <v>38</v>
      </c>
      <c r="C36" s="37" t="s">
        <v>39</v>
      </c>
      <c r="D36" s="218" t="s">
        <v>40</v>
      </c>
      <c r="E36" s="37" t="s">
        <v>41</v>
      </c>
      <c r="F36" s="37" t="s">
        <v>42</v>
      </c>
      <c r="G36" s="219" t="s">
        <v>43</v>
      </c>
      <c r="H36" s="220" t="s">
        <v>44</v>
      </c>
      <c r="I36" s="224" t="s">
        <v>33</v>
      </c>
      <c r="J36" s="224" t="s">
        <v>34</v>
      </c>
    </row>
    <row r="37" spans="2:10" hidden="1" x14ac:dyDescent="0.25">
      <c r="B37" s="70" t="s">
        <v>166</v>
      </c>
      <c r="C37" s="70">
        <v>0.84</v>
      </c>
      <c r="D37" s="70">
        <v>1.68</v>
      </c>
      <c r="E37" s="70">
        <v>0.84</v>
      </c>
      <c r="F37" s="70">
        <v>0.7</v>
      </c>
      <c r="G37" s="70">
        <v>0.7</v>
      </c>
      <c r="H37" s="70">
        <f>F37</f>
        <v>0.7</v>
      </c>
      <c r="I37" s="70">
        <v>0.2</v>
      </c>
      <c r="J37" s="70">
        <v>2.78</v>
      </c>
    </row>
    <row r="38" spans="2:10" hidden="1" x14ac:dyDescent="0.25">
      <c r="B38" s="70" t="s">
        <v>153</v>
      </c>
      <c r="C38" s="70">
        <v>0.84</v>
      </c>
      <c r="D38" s="70">
        <v>1.68</v>
      </c>
      <c r="E38" s="70">
        <v>0.84</v>
      </c>
      <c r="F38" s="70">
        <v>0.7</v>
      </c>
      <c r="G38" s="70">
        <v>0.7</v>
      </c>
      <c r="H38" s="70">
        <f>F38</f>
        <v>0.7</v>
      </c>
      <c r="I38" s="70">
        <v>0.2</v>
      </c>
      <c r="J38" s="70">
        <v>2.78</v>
      </c>
    </row>
    <row r="39" spans="2:10" hidden="1" x14ac:dyDescent="0.25">
      <c r="B39" s="70" t="s">
        <v>154</v>
      </c>
      <c r="C39" s="70">
        <v>0.84</v>
      </c>
      <c r="D39" s="70">
        <v>1.68</v>
      </c>
      <c r="E39" s="70">
        <v>0.84</v>
      </c>
      <c r="F39" s="70">
        <v>0.7</v>
      </c>
      <c r="G39" s="70">
        <v>0.7</v>
      </c>
      <c r="H39" s="70">
        <f>F39</f>
        <v>0.7</v>
      </c>
      <c r="I39" s="70">
        <v>0.2</v>
      </c>
      <c r="J39" s="70">
        <v>2.78</v>
      </c>
    </row>
    <row r="40" spans="2:10" hidden="1" x14ac:dyDescent="0.25">
      <c r="B40" s="70" t="s">
        <v>155</v>
      </c>
      <c r="C40" s="70">
        <v>0.84</v>
      </c>
      <c r="D40" s="70">
        <v>1.68</v>
      </c>
      <c r="E40" s="70">
        <v>0.84</v>
      </c>
      <c r="F40" s="70">
        <v>0.7</v>
      </c>
      <c r="G40" s="70">
        <v>0.7</v>
      </c>
      <c r="H40" s="70">
        <f>F40</f>
        <v>0.7</v>
      </c>
      <c r="I40" s="70">
        <v>0.2</v>
      </c>
      <c r="J40" s="70">
        <v>2.78</v>
      </c>
    </row>
    <row r="41" spans="2:10" hidden="1" x14ac:dyDescent="0.25">
      <c r="B41" s="70" t="s">
        <v>156</v>
      </c>
      <c r="C41" s="70">
        <v>0.84</v>
      </c>
      <c r="D41" s="70">
        <v>1.68</v>
      </c>
      <c r="E41" s="70">
        <v>0.84</v>
      </c>
      <c r="F41" s="70">
        <v>0.7</v>
      </c>
      <c r="G41" s="70">
        <v>0.7</v>
      </c>
      <c r="H41" s="70">
        <f>F41</f>
        <v>0.7</v>
      </c>
      <c r="I41" s="70">
        <v>0.2</v>
      </c>
      <c r="J41" s="70">
        <v>2.78</v>
      </c>
    </row>
    <row r="43" spans="2:10" hidden="1" x14ac:dyDescent="0.25">
      <c r="B43" s="66" t="s">
        <v>45</v>
      </c>
      <c r="C43" s="66"/>
      <c r="D43" s="66"/>
    </row>
    <row r="44" spans="2:10" ht="38.25" hidden="1" customHeight="1" x14ac:dyDescent="0.25">
      <c r="B44" s="37" t="s">
        <v>38</v>
      </c>
      <c r="C44" s="37" t="s">
        <v>39</v>
      </c>
      <c r="D44" s="218" t="s">
        <v>40</v>
      </c>
      <c r="E44" s="37" t="s">
        <v>41</v>
      </c>
      <c r="F44" s="37" t="s">
        <v>42</v>
      </c>
      <c r="G44" s="219" t="s">
        <v>43</v>
      </c>
      <c r="H44" s="220" t="s">
        <v>44</v>
      </c>
      <c r="I44" s="224" t="s">
        <v>33</v>
      </c>
      <c r="J44" s="224" t="s">
        <v>34</v>
      </c>
    </row>
    <row r="45" spans="2:10" hidden="1" x14ac:dyDescent="0.25">
      <c r="B45" s="70" t="s">
        <v>166</v>
      </c>
      <c r="C45" s="70">
        <v>60</v>
      </c>
      <c r="D45" s="70">
        <v>60</v>
      </c>
      <c r="E45" s="70">
        <v>20</v>
      </c>
      <c r="F45" s="70">
        <v>100</v>
      </c>
      <c r="G45" s="70">
        <v>45</v>
      </c>
      <c r="H45" s="70">
        <v>100</v>
      </c>
      <c r="I45" s="70">
        <v>10</v>
      </c>
      <c r="J45" s="70">
        <v>20</v>
      </c>
    </row>
    <row r="46" spans="2:10" hidden="1" x14ac:dyDescent="0.25">
      <c r="B46" s="70" t="s">
        <v>153</v>
      </c>
      <c r="C46" s="70">
        <v>60</v>
      </c>
      <c r="D46" s="70">
        <v>60</v>
      </c>
      <c r="E46" s="70">
        <v>20</v>
      </c>
      <c r="F46" s="70">
        <v>100</v>
      </c>
      <c r="G46" s="70">
        <v>45</v>
      </c>
      <c r="H46" s="70">
        <v>100</v>
      </c>
      <c r="I46" s="70">
        <v>10</v>
      </c>
      <c r="J46" s="70">
        <v>20</v>
      </c>
    </row>
    <row r="47" spans="2:10" hidden="1" x14ac:dyDescent="0.25">
      <c r="B47" s="70" t="s">
        <v>154</v>
      </c>
      <c r="C47" s="70">
        <v>60</v>
      </c>
      <c r="D47" s="70">
        <v>60</v>
      </c>
      <c r="E47" s="70">
        <v>20</v>
      </c>
      <c r="F47" s="70">
        <v>100</v>
      </c>
      <c r="G47" s="70">
        <v>45</v>
      </c>
      <c r="H47" s="70">
        <v>100</v>
      </c>
      <c r="I47" s="70">
        <v>10</v>
      </c>
      <c r="J47" s="70">
        <v>20</v>
      </c>
    </row>
    <row r="48" spans="2:10" hidden="1" x14ac:dyDescent="0.25">
      <c r="B48" s="70" t="s">
        <v>155</v>
      </c>
      <c r="C48" s="70">
        <v>60</v>
      </c>
      <c r="D48" s="70">
        <v>60</v>
      </c>
      <c r="E48" s="70">
        <v>20</v>
      </c>
      <c r="F48" s="70">
        <v>100</v>
      </c>
      <c r="G48" s="70">
        <v>45</v>
      </c>
      <c r="H48" s="70">
        <v>100</v>
      </c>
      <c r="I48" s="70">
        <v>10</v>
      </c>
      <c r="J48" s="70">
        <v>20</v>
      </c>
    </row>
    <row r="49" spans="2:10" hidden="1" x14ac:dyDescent="0.25">
      <c r="B49" s="70" t="s">
        <v>156</v>
      </c>
      <c r="C49" s="70">
        <v>92</v>
      </c>
      <c r="D49" s="70">
        <v>92</v>
      </c>
      <c r="E49" s="70">
        <v>30</v>
      </c>
      <c r="F49" s="70">
        <v>100</v>
      </c>
      <c r="G49" s="70">
        <v>45</v>
      </c>
      <c r="H49" s="70">
        <v>100</v>
      </c>
      <c r="I49" s="70">
        <v>10</v>
      </c>
      <c r="J49" s="70">
        <v>20</v>
      </c>
    </row>
    <row r="51" spans="2:10" hidden="1" x14ac:dyDescent="0.25">
      <c r="B51" s="66" t="s">
        <v>46</v>
      </c>
      <c r="C51" s="66"/>
      <c r="D51" s="66"/>
      <c r="E51" s="66"/>
    </row>
    <row r="52" spans="2:10" ht="36.75" hidden="1" customHeight="1" x14ac:dyDescent="0.25">
      <c r="B52" s="37" t="s">
        <v>38</v>
      </c>
      <c r="C52" s="37" t="s">
        <v>39</v>
      </c>
      <c r="D52" s="218" t="s">
        <v>40</v>
      </c>
      <c r="E52" s="37" t="s">
        <v>41</v>
      </c>
      <c r="F52" s="37" t="s">
        <v>42</v>
      </c>
      <c r="G52" s="219" t="s">
        <v>43</v>
      </c>
      <c r="H52" s="220" t="s">
        <v>44</v>
      </c>
      <c r="I52" s="224" t="s">
        <v>33</v>
      </c>
      <c r="J52" s="224" t="s">
        <v>34</v>
      </c>
    </row>
    <row r="53" spans="2:10" hidden="1" x14ac:dyDescent="0.25">
      <c r="B53" s="70" t="s">
        <v>166</v>
      </c>
      <c r="C53" s="70">
        <v>4.3689999999999998</v>
      </c>
      <c r="D53" s="70">
        <v>9.91</v>
      </c>
      <c r="E53" s="70">
        <v>10.62</v>
      </c>
      <c r="F53" s="70">
        <v>2.6</v>
      </c>
      <c r="G53" s="70">
        <v>11.5</v>
      </c>
      <c r="H53" s="70">
        <v>1.3</v>
      </c>
      <c r="I53" s="70">
        <v>7</v>
      </c>
      <c r="J53" s="70">
        <v>18</v>
      </c>
    </row>
    <row r="54" spans="2:10" hidden="1" x14ac:dyDescent="0.25">
      <c r="B54" s="70" t="s">
        <v>153</v>
      </c>
      <c r="C54" s="70">
        <v>5</v>
      </c>
      <c r="D54" s="70">
        <v>11.6</v>
      </c>
      <c r="E54" s="70">
        <v>12.4</v>
      </c>
      <c r="F54" s="70">
        <v>2.6</v>
      </c>
      <c r="G54" s="70">
        <v>11.5</v>
      </c>
      <c r="H54" s="70">
        <v>1.3</v>
      </c>
      <c r="I54" s="70">
        <v>7</v>
      </c>
      <c r="J54" s="70">
        <v>18</v>
      </c>
    </row>
    <row r="55" spans="2:10" hidden="1" x14ac:dyDescent="0.25">
      <c r="B55" s="70" t="s">
        <v>154</v>
      </c>
      <c r="C55" s="70">
        <v>6.2</v>
      </c>
      <c r="D55" s="70">
        <v>11.6</v>
      </c>
      <c r="E55" s="70">
        <v>13.4</v>
      </c>
      <c r="F55" s="70">
        <v>2.6</v>
      </c>
      <c r="G55" s="70">
        <v>11.5</v>
      </c>
      <c r="H55" s="70">
        <v>1.3</v>
      </c>
      <c r="I55" s="70">
        <v>7</v>
      </c>
      <c r="J55" s="70">
        <v>18</v>
      </c>
    </row>
    <row r="56" spans="2:10" hidden="1" x14ac:dyDescent="0.25">
      <c r="B56" s="70" t="s">
        <v>155</v>
      </c>
      <c r="C56" s="70">
        <v>5.3280000000000003</v>
      </c>
      <c r="D56" s="70">
        <v>13.176</v>
      </c>
      <c r="E56" s="70">
        <v>14.976000000000001</v>
      </c>
      <c r="F56" s="70">
        <v>2.6</v>
      </c>
      <c r="G56" s="70">
        <v>10.8</v>
      </c>
      <c r="H56" s="70">
        <v>1.3</v>
      </c>
      <c r="I56" s="70">
        <v>7</v>
      </c>
      <c r="J56" s="70">
        <v>18</v>
      </c>
    </row>
    <row r="57" spans="2:10" hidden="1" x14ac:dyDescent="0.25">
      <c r="B57" s="70" t="s">
        <v>156</v>
      </c>
      <c r="C57" s="70">
        <v>10.1</v>
      </c>
      <c r="D57" s="70">
        <v>10.1</v>
      </c>
      <c r="E57" s="70">
        <v>22.46</v>
      </c>
      <c r="F57" s="70">
        <v>2.6</v>
      </c>
      <c r="G57" s="70">
        <v>10.8</v>
      </c>
      <c r="H57" s="70">
        <v>1.3</v>
      </c>
      <c r="I57" s="70">
        <v>7</v>
      </c>
      <c r="J57" s="70">
        <v>18</v>
      </c>
    </row>
    <row r="59" spans="2:10" hidden="1" x14ac:dyDescent="0.25">
      <c r="B59" s="66" t="s">
        <v>47</v>
      </c>
      <c r="C59" s="66">
        <v>2</v>
      </c>
      <c r="D59" s="66">
        <v>3</v>
      </c>
      <c r="E59" s="66">
        <v>4</v>
      </c>
      <c r="F59" s="42">
        <v>5</v>
      </c>
      <c r="G59" s="221">
        <v>6</v>
      </c>
      <c r="H59" s="42">
        <v>7</v>
      </c>
      <c r="I59" s="42">
        <v>8</v>
      </c>
      <c r="J59" s="42">
        <v>9</v>
      </c>
    </row>
    <row r="60" spans="2:10" ht="39" hidden="1" customHeight="1" x14ac:dyDescent="0.25">
      <c r="B60" s="222" t="s">
        <v>48</v>
      </c>
      <c r="C60" s="179" t="s">
        <v>39</v>
      </c>
      <c r="D60" s="180" t="s">
        <v>40</v>
      </c>
      <c r="E60" s="179" t="s">
        <v>41</v>
      </c>
      <c r="F60" s="179" t="s">
        <v>42</v>
      </c>
      <c r="G60" s="219" t="s">
        <v>43</v>
      </c>
      <c r="H60" s="223" t="s">
        <v>32</v>
      </c>
      <c r="I60" s="224" t="s">
        <v>33</v>
      </c>
      <c r="J60" s="224" t="s">
        <v>34</v>
      </c>
    </row>
    <row r="61" spans="2:10" hidden="1" x14ac:dyDescent="0.25">
      <c r="B61" s="70" t="s">
        <v>166</v>
      </c>
      <c r="C61" s="70">
        <v>6.0000000000000001E-3</v>
      </c>
      <c r="D61" s="70">
        <v>1.4E-2</v>
      </c>
      <c r="E61" s="70">
        <v>1.4E-2</v>
      </c>
      <c r="F61" s="70">
        <v>0.01</v>
      </c>
      <c r="G61" s="70">
        <v>2.5000000000000001E-2</v>
      </c>
      <c r="H61" s="70">
        <v>5.9999999999999995E-4</v>
      </c>
      <c r="I61" s="70">
        <v>0.03</v>
      </c>
      <c r="J61" s="70">
        <v>0.1</v>
      </c>
    </row>
    <row r="62" spans="2:10" hidden="1" x14ac:dyDescent="0.25">
      <c r="B62" s="70" t="s">
        <v>153</v>
      </c>
      <c r="C62" s="70">
        <v>8.9999999999999993E-3</v>
      </c>
      <c r="D62" s="70">
        <v>2.3E-2</v>
      </c>
      <c r="E62" s="70">
        <v>3.2000000000000001E-2</v>
      </c>
      <c r="F62" s="70">
        <v>0.01</v>
      </c>
      <c r="G62" s="70">
        <v>2.5000000000000001E-2</v>
      </c>
      <c r="H62" s="70">
        <v>5.9999999999999995E-4</v>
      </c>
      <c r="I62" s="70">
        <v>0.03</v>
      </c>
      <c r="J62" s="70">
        <v>0.1</v>
      </c>
    </row>
    <row r="63" spans="2:10" hidden="1" x14ac:dyDescent="0.25">
      <c r="B63" s="70" t="s">
        <v>154</v>
      </c>
      <c r="C63" s="70">
        <v>0.01</v>
      </c>
      <c r="D63" s="70">
        <v>2.3E-2</v>
      </c>
      <c r="E63" s="70">
        <v>3.5999999999999997E-2</v>
      </c>
      <c r="F63" s="70">
        <v>0.01</v>
      </c>
      <c r="G63" s="70">
        <v>2.5000000000000001E-2</v>
      </c>
      <c r="H63" s="70">
        <v>5.9999999999999995E-4</v>
      </c>
      <c r="I63" s="70">
        <v>0.03</v>
      </c>
      <c r="J63" s="70">
        <v>0.1</v>
      </c>
    </row>
    <row r="64" spans="2:10" hidden="1" x14ac:dyDescent="0.25">
      <c r="B64" s="70" t="s">
        <v>155</v>
      </c>
      <c r="C64" s="70">
        <v>0.01</v>
      </c>
      <c r="D64" s="70">
        <v>2.3E-2</v>
      </c>
      <c r="E64" s="70">
        <v>3.5999999999999997E-2</v>
      </c>
      <c r="F64" s="70">
        <v>0.01</v>
      </c>
      <c r="G64" s="70">
        <v>2.5000000000000001E-2</v>
      </c>
      <c r="H64" s="70">
        <v>5.9999999999999995E-4</v>
      </c>
      <c r="I64" s="70">
        <v>0.03</v>
      </c>
      <c r="J64" s="70">
        <v>0.1</v>
      </c>
    </row>
    <row r="65" spans="2:10" hidden="1" x14ac:dyDescent="0.25">
      <c r="B65" s="70" t="s">
        <v>156</v>
      </c>
      <c r="C65" s="70">
        <v>0.01</v>
      </c>
      <c r="D65" s="70">
        <v>2.3E-2</v>
      </c>
      <c r="E65" s="70">
        <v>3.5999999999999997E-2</v>
      </c>
      <c r="F65" s="70">
        <v>0.01</v>
      </c>
      <c r="G65" s="70">
        <v>2.5000000000000001E-2</v>
      </c>
      <c r="H65" s="70">
        <v>5.9999999999999995E-4</v>
      </c>
      <c r="I65" s="70">
        <v>0.03</v>
      </c>
      <c r="J65" s="70">
        <v>0.1</v>
      </c>
    </row>
  </sheetData>
  <sheetProtection algorithmName="SHA-512" hashValue="AjouQ8fMneXGXyfTz+26VP+gqhS8vuN1WokZLr/97yR2wjEmcW9xfhJvQe/t/Q1fYLXMuWsQOx49qUFbkjepaw==" saltValue="URw6V+egeGrRZPs73uOGKw==" spinCount="100000" sheet="1" objects="1" scenarios="1"/>
  <mergeCells count="2">
    <mergeCell ref="C8:E8"/>
    <mergeCell ref="B8:B9"/>
  </mergeCells>
  <dataValidations count="2">
    <dataValidation type="list" allowBlank="1" showInputMessage="1" showErrorMessage="1" sqref="C5" xr:uid="{00000000-0002-0000-0100-000000000000}">
      <formula1>"Лайт Т-24,Стандарт Т-24,Премиум Т-24,Hard Т-24,Slim Т-15"</formula1>
    </dataValidation>
    <dataValidation type="decimal" operator="lessThanOrEqual" allowBlank="1" showInputMessage="1" showErrorMessage="1" sqref="C6" xr:uid="{00000000-0002-0000-0100-000001000000}">
      <formula1>100000</formula1>
    </dataValidation>
  </dataValidations>
  <pageMargins left="0.70833333333333304" right="0.70833333333333304" top="0.59027777777777801" bottom="0.74791666666666701" header="0.51180555555555496" footer="0.51180555555555496"/>
  <pageSetup paperSize="9" scale="60" firstPageNumber="0" orientation="portrait" useFirstPageNumber="1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AMK111"/>
  <sheetViews>
    <sheetView showGridLines="0" zoomScaleNormal="100" workbookViewId="0"/>
  </sheetViews>
  <sheetFormatPr defaultColWidth="0" defaultRowHeight="15" zeroHeight="1" x14ac:dyDescent="0.25"/>
  <cols>
    <col min="1" max="1" width="2.85546875" style="1" customWidth="1"/>
    <col min="2" max="2" width="21.7109375" style="1" customWidth="1"/>
    <col min="3" max="3" width="9.140625" style="1" customWidth="1"/>
    <col min="4" max="4" width="7.5703125" style="1" customWidth="1"/>
    <col min="5" max="5" width="7.7109375" style="1" customWidth="1"/>
    <col min="6" max="6" width="10.7109375" style="1" customWidth="1"/>
    <col min="7" max="7" width="8.42578125" style="1" customWidth="1"/>
    <col min="8" max="8" width="12.28515625" style="1" customWidth="1"/>
    <col min="9" max="9" width="10.5703125" style="1" hidden="1" customWidth="1"/>
    <col min="10" max="10" width="9.7109375" style="1" hidden="1" customWidth="1"/>
    <col min="11" max="11" width="4.28515625" style="1" customWidth="1"/>
    <col min="12" max="12" width="21.85546875" style="1" customWidth="1"/>
    <col min="13" max="15" width="9.140625" style="1" customWidth="1"/>
    <col min="16" max="16" width="8.42578125" style="1" customWidth="1"/>
    <col min="17" max="17" width="11.5703125" style="1" customWidth="1"/>
    <col min="18" max="18" width="16.140625" style="1" customWidth="1"/>
    <col min="19" max="19" width="4" style="1" customWidth="1"/>
    <col min="20" max="21" width="9.140625" style="1" hidden="1" customWidth="1"/>
    <col min="22" max="22" width="27" style="1" hidden="1" customWidth="1"/>
    <col min="23" max="1025" width="9.140625" style="1" hidden="1" customWidth="1"/>
    <col min="1026" max="16384" width="9.140625" hidden="1"/>
  </cols>
  <sheetData>
    <row r="1" spans="2:22" ht="24" customHeight="1" x14ac:dyDescent="0.25"/>
    <row r="2" spans="2:22" ht="24" customHeight="1" x14ac:dyDescent="0.25">
      <c r="M2" s="157"/>
      <c r="N2" s="157"/>
      <c r="O2" s="157"/>
      <c r="P2" s="157"/>
      <c r="Q2" s="157"/>
      <c r="R2" s="157"/>
    </row>
    <row r="3" spans="2:22" ht="15.75" x14ac:dyDescent="0.25">
      <c r="B3" s="238" t="s">
        <v>49</v>
      </c>
      <c r="C3" s="157"/>
      <c r="D3" s="157"/>
      <c r="E3" s="157"/>
      <c r="F3" s="157"/>
      <c r="G3" s="157"/>
      <c r="H3" s="157"/>
      <c r="J3" s="188">
        <f>ROUNDUP(ROUNDUP((M7/0.36),M42),M42)</f>
        <v>1666.6666666666699</v>
      </c>
      <c r="L3" s="2" t="s">
        <v>50</v>
      </c>
    </row>
    <row r="4" spans="2:22" x14ac:dyDescent="0.25">
      <c r="G4" s="5"/>
      <c r="H4" s="5"/>
      <c r="P4" s="5"/>
      <c r="Q4" s="5"/>
      <c r="R4" s="5"/>
    </row>
    <row r="5" spans="2:22" x14ac:dyDescent="0.25">
      <c r="B5" s="158" t="s">
        <v>51</v>
      </c>
      <c r="C5" s="295" t="s">
        <v>157</v>
      </c>
      <c r="D5" s="295"/>
      <c r="E5" s="4" t="s">
        <v>13</v>
      </c>
      <c r="F5" s="5"/>
      <c r="G5" s="8"/>
      <c r="H5" s="8"/>
      <c r="L5" s="158" t="s">
        <v>51</v>
      </c>
      <c r="M5" s="295" t="s">
        <v>64</v>
      </c>
      <c r="N5" s="295"/>
      <c r="O5" s="4" t="s">
        <v>13</v>
      </c>
      <c r="Q5" s="8"/>
      <c r="R5" s="8"/>
    </row>
    <row r="6" spans="2:22" ht="14.25" customHeight="1" x14ac:dyDescent="0.25">
      <c r="B6" s="158" t="s">
        <v>14</v>
      </c>
      <c r="C6" s="295">
        <v>70</v>
      </c>
      <c r="D6" s="295"/>
      <c r="E6" s="10" t="s">
        <v>15</v>
      </c>
      <c r="F6" s="8"/>
      <c r="G6" s="8"/>
      <c r="H6" s="8"/>
      <c r="L6" s="158" t="s">
        <v>53</v>
      </c>
      <c r="M6" s="295" t="s">
        <v>152</v>
      </c>
      <c r="N6" s="295"/>
      <c r="O6" s="4" t="s">
        <v>13</v>
      </c>
    </row>
    <row r="7" spans="2:22" x14ac:dyDescent="0.25">
      <c r="H7" s="8"/>
      <c r="L7" s="158" t="s">
        <v>14</v>
      </c>
      <c r="M7" s="295">
        <v>600</v>
      </c>
      <c r="N7" s="295"/>
      <c r="O7" s="10" t="s">
        <v>15</v>
      </c>
    </row>
    <row r="8" spans="2:22" ht="15.75" customHeight="1" x14ac:dyDescent="0.25">
      <c r="H8" s="8"/>
      <c r="J8" s="189"/>
    </row>
    <row r="9" spans="2:22" ht="25.5" customHeight="1" x14ac:dyDescent="0.25">
      <c r="B9" s="294" t="s">
        <v>16</v>
      </c>
      <c r="C9" s="294" t="s">
        <v>17</v>
      </c>
      <c r="D9" s="294"/>
      <c r="E9" s="294"/>
      <c r="F9" s="12" t="s">
        <v>18</v>
      </c>
      <c r="G9" s="132" t="s">
        <v>19</v>
      </c>
      <c r="H9" s="12" t="s">
        <v>20</v>
      </c>
      <c r="L9" s="294" t="s">
        <v>16</v>
      </c>
      <c r="M9" s="294" t="s">
        <v>17</v>
      </c>
      <c r="N9" s="294"/>
      <c r="O9" s="294"/>
      <c r="P9" s="12" t="s">
        <v>18</v>
      </c>
      <c r="Q9" s="132" t="s">
        <v>19</v>
      </c>
      <c r="R9" s="12" t="s">
        <v>20</v>
      </c>
    </row>
    <row r="10" spans="2:22" x14ac:dyDescent="0.25">
      <c r="B10" s="294"/>
      <c r="C10" s="160" t="s">
        <v>21</v>
      </c>
      <c r="D10" s="12" t="s">
        <v>22</v>
      </c>
      <c r="E10" s="12" t="s">
        <v>23</v>
      </c>
      <c r="F10" s="12" t="s">
        <v>24</v>
      </c>
      <c r="G10" s="132" t="s">
        <v>21</v>
      </c>
      <c r="H10" s="12" t="s">
        <v>25</v>
      </c>
      <c r="L10" s="294"/>
      <c r="M10" s="12" t="s">
        <v>21</v>
      </c>
      <c r="N10" s="12" t="s">
        <v>22</v>
      </c>
      <c r="O10" s="12" t="s">
        <v>23</v>
      </c>
      <c r="P10" s="12" t="s">
        <v>24</v>
      </c>
      <c r="Q10" s="132" t="s">
        <v>21</v>
      </c>
      <c r="R10" s="12" t="s">
        <v>25</v>
      </c>
    </row>
    <row r="11" spans="2:22" x14ac:dyDescent="0.25">
      <c r="B11" s="161" t="s">
        <v>54</v>
      </c>
      <c r="C11" s="162">
        <f>CEILING(VLOOKUP(C5,$B$36:$J$41,2,0)*C6,VLOOKUP(C5,B44:C49,2,0))</f>
        <v>200</v>
      </c>
      <c r="D11" s="163"/>
      <c r="E11" s="150">
        <f>CEILING(C11/(VLOOKUP(C5,$B$44:$J$49,2,0)),1)</f>
        <v>5</v>
      </c>
      <c r="F11" s="164">
        <f>E11*VLOOKUP(C5,$B$52:$J$57,2,0)</f>
        <v>73.5</v>
      </c>
      <c r="G11" s="135">
        <f>CEILING(E11/28,0.1)</f>
        <v>0.2</v>
      </c>
      <c r="H11" s="136">
        <f>E11*VLOOKUP(C5,$B$60:$J$65,2,0)</f>
        <v>0.3</v>
      </c>
      <c r="L11" s="13" t="s">
        <v>55</v>
      </c>
      <c r="M11" s="162">
        <f>CEILING(VLOOKUP(M5,$L$36:$S$38,2,0)*M7,VLOOKUP(M5,L41:M43,2,0))</f>
        <v>1680</v>
      </c>
      <c r="N11" s="190"/>
      <c r="O11" s="150">
        <f>CEILING(M11/(VLOOKUP(M5,$L$41:$U$43,2,0)),1)</f>
        <v>105</v>
      </c>
      <c r="P11" s="164">
        <f>O11*VLOOKUP(M5,$L$46:$U$48,2,0)</f>
        <v>965.99999999999989</v>
      </c>
      <c r="Q11" s="133">
        <f>CEILING(O11/24,0.1)</f>
        <v>4.4000000000000004</v>
      </c>
      <c r="R11" s="136">
        <f>O11*VLOOKUP(M5,$L$51:$U$53,2,0)</f>
        <v>6.3</v>
      </c>
    </row>
    <row r="12" spans="2:22" x14ac:dyDescent="0.25">
      <c r="B12" s="13" t="s">
        <v>26</v>
      </c>
      <c r="C12" s="165">
        <f>CEILING(D12/3.6,1)</f>
        <v>20</v>
      </c>
      <c r="D12" s="15">
        <f>CEILING(VLOOKUP(C5,$B$37:$J$41,5,0)*C6,72)</f>
        <v>72</v>
      </c>
      <c r="E12" s="16">
        <f>CEILING(C12/(VLOOKUP(C5,$B$44:$J$49,5,0)),1)</f>
        <v>1</v>
      </c>
      <c r="F12" s="81">
        <f>E12*VLOOKUP(C5,$B$52:$J$57,5,0)</f>
        <v>12.4</v>
      </c>
      <c r="G12" s="135">
        <f>CEILING(E12/60,0.1)</f>
        <v>0.1</v>
      </c>
      <c r="H12" s="166">
        <f>E12*VLOOKUP(C5,$B$60:$J$65,5,0)</f>
        <v>3.2000000000000001E-2</v>
      </c>
      <c r="L12" s="13" t="s">
        <v>56</v>
      </c>
      <c r="M12" s="15">
        <f>CEILING(N12/4,8)</f>
        <v>256</v>
      </c>
      <c r="N12" s="191">
        <f>CEILING(M7*1.67,32)</f>
        <v>1024</v>
      </c>
      <c r="O12" s="150">
        <f>CEILING(M12/(VLOOKUP(M5,$L$41:$U$43,3,0)),1)</f>
        <v>32</v>
      </c>
      <c r="P12" s="164">
        <f>O12*VLOOKUP(M5,$L$46:$U$48,3,0)</f>
        <v>8.48</v>
      </c>
      <c r="Q12" s="133">
        <f>CEILING(M12/640,0.1)</f>
        <v>0.4</v>
      </c>
      <c r="R12" s="136">
        <f>O12*VLOOKUP(M5,$L$51:$U$53,3,0)</f>
        <v>2.8799999999999999E-2</v>
      </c>
    </row>
    <row r="13" spans="2:22" x14ac:dyDescent="0.25">
      <c r="B13" s="13" t="s">
        <v>27</v>
      </c>
      <c r="C13" s="16">
        <f>CEILING(D13/1.2,1)</f>
        <v>120</v>
      </c>
      <c r="D13" s="15">
        <f>CEILING(VLOOKUP(C5,$B$36:$J$41,4,0)*C6,72)</f>
        <v>144</v>
      </c>
      <c r="E13" s="16">
        <f>CEILING(C13/(VLOOKUP(C5,$B$44:$J$49,4,0)),1)</f>
        <v>2</v>
      </c>
      <c r="F13" s="81">
        <f>E13*VLOOKUP(C5,$B$52:$J$57,4,0)</f>
        <v>23.2</v>
      </c>
      <c r="G13" s="135">
        <f>CEILING(E13/100,0.1)</f>
        <v>0.1</v>
      </c>
      <c r="H13" s="166">
        <f>E13*VLOOKUP(C5,$B$60:$H$65,4,0)</f>
        <v>4.5999999999999999E-2</v>
      </c>
      <c r="L13" s="13" t="s">
        <v>57</v>
      </c>
      <c r="M13" s="15">
        <f>CEILING(VLOOKUP(M5,$L$36:$U$38,5,0)*M7,1)</f>
        <v>840</v>
      </c>
      <c r="N13" s="192"/>
      <c r="O13" s="16">
        <f>CEILING(M13/(VLOOKUP(M5,$L$41:$U$43,5,0)),1)</f>
        <v>9</v>
      </c>
      <c r="P13" s="164">
        <f>O13*VLOOKUP(M5,$L$46:$U$48,5,0)</f>
        <v>4.5</v>
      </c>
      <c r="Q13" s="133"/>
      <c r="R13" s="201">
        <f>O13*VLOOKUP(M5,$L$51:$U$53,5,0)</f>
        <v>1.8000000000000001E-4</v>
      </c>
    </row>
    <row r="14" spans="2:22" x14ac:dyDescent="0.25">
      <c r="B14" s="13" t="s">
        <v>28</v>
      </c>
      <c r="C14" s="16">
        <f>CEILING(D14/0.6,1)</f>
        <v>120</v>
      </c>
      <c r="D14" s="15">
        <f>CEILING(VLOOKUP(C5,$B$36:$K$41,3,0)*C6,36)</f>
        <v>72</v>
      </c>
      <c r="E14" s="16">
        <f>CEILING(C14/(VLOOKUP(C5,$B$44:$J$49,3,0)),1)</f>
        <v>2</v>
      </c>
      <c r="F14" s="81">
        <f>E14*VLOOKUP(C5,$B$52:$J$57,3,0)</f>
        <v>10</v>
      </c>
      <c r="G14" s="135">
        <f>CEILING(E14/160,0.1)</f>
        <v>0.1</v>
      </c>
      <c r="H14" s="166">
        <f>E14*VLOOKUP(C5,$B$60:$J$65,3,0)</f>
        <v>1.7999999999999999E-2</v>
      </c>
      <c r="L14" s="13" t="s">
        <v>33</v>
      </c>
      <c r="M14" s="15">
        <f>CEILING(VLOOKUP(M5,$L$36:$U$38,9,0)*M7,1)</f>
        <v>120</v>
      </c>
      <c r="N14" s="16"/>
      <c r="O14" s="16">
        <f>CEILING(M14/(VLOOKUP(M5,$L$41:$U$43,9,0)),1)</f>
        <v>12</v>
      </c>
      <c r="P14" s="81">
        <f>O14*VLOOKUP(M5,$L$46:$U$48,9,0)</f>
        <v>84</v>
      </c>
      <c r="Q14" s="133">
        <f>CEILING(O14/10,0.1)</f>
        <v>1.2000000000000002</v>
      </c>
      <c r="R14" s="166">
        <f>O14*VLOOKUP(M5,$L$51:$U$53,9,0)</f>
        <v>0.36</v>
      </c>
    </row>
    <row r="15" spans="2:22" x14ac:dyDescent="0.25">
      <c r="B15" s="13" t="s">
        <v>29</v>
      </c>
      <c r="C15" s="16">
        <f>CEILING(D15/3,1)</f>
        <v>45</v>
      </c>
      <c r="D15" s="15">
        <f>CEILING(VLOOKUP(C5,$B$36:$J$41,7,0)*C6,135)</f>
        <v>135</v>
      </c>
      <c r="E15" s="16">
        <f>CEILING(C15/(VLOOKUP(C5,$B$44:$J$49,7,0)),1)</f>
        <v>1</v>
      </c>
      <c r="F15" s="81">
        <f>E15*VLOOKUP(C5,$B$52:$J$57,7,0)</f>
        <v>11.5</v>
      </c>
      <c r="G15" s="135">
        <f>CEILING(E15/60,0.1)</f>
        <v>0.1</v>
      </c>
      <c r="H15" s="166">
        <f>E15*VLOOKUP(C5,$B$60:$J$65,7,0)</f>
        <v>2.5000000000000001E-2</v>
      </c>
      <c r="L15" s="13" t="s">
        <v>29</v>
      </c>
      <c r="M15" s="171">
        <f>CEILING(N15/3,1)</f>
        <v>180</v>
      </c>
      <c r="N15" s="15">
        <f>CEILING(VLOOKUP(M5,$L$36:$S$38,7,0)*M7,135)</f>
        <v>540</v>
      </c>
      <c r="O15" s="16">
        <f>CEILING(M15/(VLOOKUP(M5,$L$41:$S$43,7,0)),1)</f>
        <v>4</v>
      </c>
      <c r="P15" s="81">
        <f>O15*VLOOKUP(M5,$L$46:$U$48,7,0)</f>
        <v>46</v>
      </c>
      <c r="Q15" s="133">
        <f>CEILING(O15/60,0.1)</f>
        <v>0.1</v>
      </c>
      <c r="R15" s="166">
        <f>O15*VLOOKUP(M5,$L$51:$U$53,7,0)</f>
        <v>0.1</v>
      </c>
      <c r="V15" s="202"/>
    </row>
    <row r="16" spans="2:22" x14ac:dyDescent="0.25">
      <c r="B16" s="13" t="s">
        <v>30</v>
      </c>
      <c r="C16" s="167">
        <f>CEILING(VLOOKUP(C5,$B$36:$J$41,6,0)*C6,100)</f>
        <v>100</v>
      </c>
      <c r="D16" s="150"/>
      <c r="E16" s="16">
        <f>CEILING(C16/(VLOOKUP(C5,$B$44:$J$49,6,0)),1)</f>
        <v>1</v>
      </c>
      <c r="F16" s="81">
        <f>E16*VLOOKUP(C5,$B$52:$J$57,6,0)</f>
        <v>2.6</v>
      </c>
      <c r="G16" s="135">
        <f>CEILING(E16/100,0.1)</f>
        <v>0.1</v>
      </c>
      <c r="H16" s="166">
        <f>E16*VLOOKUP(C5,$B$60:$J$65,6,0)</f>
        <v>0.01</v>
      </c>
      <c r="L16" s="13" t="str">
        <f>IF(M6="усиленный","Монтажный профиль","Анкер-клин")</f>
        <v>Монтажный профиль</v>
      </c>
      <c r="M16" s="16" t="str">
        <f>IF(L16="Анкер-клин",CEILING(VLOOKUP(M5,$L$36:$U$38,8,0)*M7,100),"")</f>
        <v/>
      </c>
      <c r="N16" s="16">
        <f>IF(L16="Монтажный профиль",CEILING(VLOOKUP(M5,$L$36:$U$38,4,0)*M7,3),"")</f>
        <v>504</v>
      </c>
      <c r="O16" s="57">
        <f>IF(L16="Анкер-клин",CEILING(M16/(VLOOKUP(M5,$L$41:$U$43,8,0)),1),CEILING(N16/(VLOOKUP(M5,$L$41:$U$43,4,0)),1))</f>
        <v>6</v>
      </c>
      <c r="P16" s="57">
        <f>IF(L16="Анкер-клин",O16*VLOOKUP(M5,$L$46:$U$48,8,0),O16*VLOOKUP(M5,$L$46:$U$48,4,0))</f>
        <v>5.4</v>
      </c>
      <c r="Q16" s="133">
        <f>CEILING(P16/1000,0.1)</f>
        <v>0.1</v>
      </c>
      <c r="R16" s="57">
        <f>IF(L16="Анкер-клин",$O$16*VLOOKUP($M$5,$L$51:$U$53,8,0),O$16*VLOOKUP(M$5,L$51:U$53,4,0))</f>
        <v>5.4000000000000003E-3</v>
      </c>
    </row>
    <row r="17" spans="2:18" x14ac:dyDescent="0.25">
      <c r="B17" s="168"/>
      <c r="C17" s="169"/>
      <c r="D17" s="170"/>
      <c r="E17" s="171"/>
      <c r="F17" s="83"/>
      <c r="G17" s="172"/>
      <c r="H17" s="173"/>
      <c r="L17" s="193" t="str">
        <f>IF(M6="усиленный","2-х уровневый соед","")</f>
        <v>2-х уровневый соед</v>
      </c>
      <c r="M17" s="194">
        <f>IF(L17="","",N16/0.6)</f>
        <v>840</v>
      </c>
      <c r="N17" s="194"/>
      <c r="O17" s="195"/>
      <c r="P17" s="195"/>
      <c r="Q17" s="203"/>
      <c r="R17" s="195"/>
    </row>
    <row r="18" spans="2:18" x14ac:dyDescent="0.25">
      <c r="B18" s="13" t="s">
        <v>32</v>
      </c>
      <c r="C18" s="15">
        <f>CEILING(VLOOKUP(C5,$B$36:$J$41,8,0)*C6,100)</f>
        <v>100</v>
      </c>
      <c r="D18" s="16"/>
      <c r="E18" s="16">
        <f>CEILING(C18/(VLOOKUP(C5,$B$44:$J$49,8,0)),1)</f>
        <v>1</v>
      </c>
      <c r="F18" s="81">
        <f>E18*VLOOKUP(C5,$B$52:$J$57,8,0)</f>
        <v>1.3</v>
      </c>
      <c r="G18" s="135"/>
      <c r="H18" s="166">
        <f>E18*VLOOKUP(C5,$B$60:$J$65,8,0)</f>
        <v>5.9999999999999995E-4</v>
      </c>
      <c r="L18" s="141" t="str">
        <f>IF(M6="усиленный","Шпилька","Евро подвес")</f>
        <v>Шпилька</v>
      </c>
      <c r="M18" s="60">
        <f>IF(L18="Шпилька",CEILING(VLOOKUP(M5,$L$36:$U$38,10,0)*M7,1),IF(L18="Евро подвес",CEILING(VLOOKUP(M5,$L$36:$U$38,6,0)*M7,100),""))</f>
        <v>420</v>
      </c>
      <c r="N18" s="196">
        <f>IF(L18="Евро подвес",CEILING(VLOOKUP(M5,$L$36:$U$38,6,0)*M7,1),CEILING(VLOOKUP(M5,$L$36:$U$38,10,0)*M7,1))</f>
        <v>420</v>
      </c>
      <c r="O18" s="21">
        <f>IF(L18="Шпилька",CEILING(M18/(VLOOKUP(M5,$L$41:$U$43,10,0)),1),CEILING(M18/(VLOOKUP(M5,$L$41:$U$43,6,0)),1))</f>
        <v>21</v>
      </c>
      <c r="P18" s="21">
        <f>IF(L18="Шпилька",O18*VLOOKUP(M5,$L$46:$U$48,10,0),O18*VLOOKUP(M5,$L$46:$U$48,6,0))</f>
        <v>3.15</v>
      </c>
      <c r="Q18" s="204"/>
      <c r="R18" s="21">
        <f>IF(L18="Евро подвес",$O$18*VLOOKUP($M$5,$L$51:$U$53,6,0),O$18*VLOOKUP(M$5,L$51:U$53,10,0))</f>
        <v>1.0500000000000002E-3</v>
      </c>
    </row>
    <row r="19" spans="2:18" x14ac:dyDescent="0.25">
      <c r="B19" s="141" t="s">
        <v>33</v>
      </c>
      <c r="C19" s="20">
        <f>CEILING(VLOOKUP(C5,$B$36:$J$41,9,0)*C6,1)</f>
        <v>14</v>
      </c>
      <c r="D19" s="19"/>
      <c r="E19" s="19">
        <f>CEILING(C19/(VLOOKUP(C5,$B$44:$J$49,9,0)),1)</f>
        <v>1</v>
      </c>
      <c r="F19" s="174">
        <f>E19*VLOOKUP(C5,$B$52:$J$57,9,0)</f>
        <v>18</v>
      </c>
      <c r="G19" s="175"/>
      <c r="H19" s="176">
        <f>E19*VLOOKUP(C5,$B$61:$J$65,9,0)</f>
        <v>0.1</v>
      </c>
      <c r="L19" s="24" t="s">
        <v>35</v>
      </c>
      <c r="M19" s="177">
        <f t="shared" ref="M19:R19" si="0">SUM(M11:M18)</f>
        <v>4336</v>
      </c>
      <c r="N19" s="177">
        <f t="shared" si="0"/>
        <v>2488</v>
      </c>
      <c r="O19" s="156">
        <f t="shared" si="0"/>
        <v>189</v>
      </c>
      <c r="P19" s="156">
        <f t="shared" si="0"/>
        <v>1117.5300000000002</v>
      </c>
      <c r="Q19" s="205">
        <f t="shared" si="0"/>
        <v>6.2</v>
      </c>
      <c r="R19" s="147">
        <f t="shared" si="0"/>
        <v>6.7954300000000005</v>
      </c>
    </row>
    <row r="20" spans="2:18" ht="18" customHeight="1" x14ac:dyDescent="0.25">
      <c r="B20" s="24" t="s">
        <v>35</v>
      </c>
      <c r="C20" s="177">
        <f>SUM(C12:C19)</f>
        <v>519</v>
      </c>
      <c r="D20" s="177">
        <f>SUM(D12:D19)</f>
        <v>423</v>
      </c>
      <c r="E20" s="156">
        <f>SUM(E11:E19)</f>
        <v>14</v>
      </c>
      <c r="F20" s="156">
        <f>SUM(F11:F19)</f>
        <v>152.50000000000003</v>
      </c>
      <c r="G20" s="146">
        <f>SUM(G11:G19)</f>
        <v>0.7</v>
      </c>
      <c r="H20" s="147">
        <f>SUM(H11:H19)</f>
        <v>0.53159999999999996</v>
      </c>
    </row>
    <row r="21" spans="2:18" x14ac:dyDescent="0.25">
      <c r="B21" s="178"/>
      <c r="C21" s="29"/>
    </row>
    <row r="22" spans="2:18" x14ac:dyDescent="0.25">
      <c r="B22" s="178"/>
      <c r="C22" s="29"/>
    </row>
    <row r="23" spans="2:18" x14ac:dyDescent="0.25">
      <c r="B23" s="178"/>
      <c r="C23" s="29"/>
    </row>
    <row r="24" spans="2:18" x14ac:dyDescent="0.25">
      <c r="B24" s="178"/>
      <c r="C24" s="29"/>
    </row>
    <row r="25" spans="2:18" x14ac:dyDescent="0.25">
      <c r="B25" s="178"/>
      <c r="C25" s="29"/>
    </row>
    <row r="26" spans="2:18" x14ac:dyDescent="0.25">
      <c r="B26" s="178"/>
      <c r="C26" s="29"/>
    </row>
    <row r="27" spans="2:18" x14ac:dyDescent="0.25">
      <c r="B27" s="178"/>
      <c r="C27" s="29"/>
    </row>
    <row r="28" spans="2:18" x14ac:dyDescent="0.25">
      <c r="B28" s="178"/>
      <c r="C28" s="29"/>
    </row>
    <row r="29" spans="2:18" x14ac:dyDescent="0.25">
      <c r="B29" s="178"/>
      <c r="C29" s="29"/>
    </row>
    <row r="30" spans="2:18" x14ac:dyDescent="0.25">
      <c r="B30" s="178"/>
      <c r="C30" s="29"/>
    </row>
    <row r="31" spans="2:18" x14ac:dyDescent="0.25">
      <c r="B31" s="178"/>
      <c r="C31" s="29"/>
    </row>
    <row r="32" spans="2:18" hidden="1" x14ac:dyDescent="0.25">
      <c r="B32" s="178"/>
      <c r="C32" s="29"/>
    </row>
    <row r="33" spans="2:22" hidden="1" x14ac:dyDescent="0.25">
      <c r="B33" s="178"/>
      <c r="C33" s="29"/>
    </row>
    <row r="34" spans="2:22" hidden="1" x14ac:dyDescent="0.25">
      <c r="B34" s="178"/>
      <c r="C34" s="29"/>
    </row>
    <row r="35" spans="2:22" hidden="1" x14ac:dyDescent="0.25">
      <c r="B35" s="33" t="s">
        <v>37</v>
      </c>
      <c r="C35" s="33">
        <v>2</v>
      </c>
      <c r="D35" s="33">
        <v>3</v>
      </c>
      <c r="E35" s="1">
        <v>4</v>
      </c>
      <c r="F35" s="1">
        <v>5</v>
      </c>
      <c r="G35" s="1">
        <v>6</v>
      </c>
      <c r="H35" s="1">
        <v>7</v>
      </c>
      <c r="I35" s="1">
        <v>8</v>
      </c>
      <c r="J35" s="1">
        <v>9</v>
      </c>
      <c r="L35" s="33" t="s">
        <v>37</v>
      </c>
      <c r="M35" s="33">
        <v>2</v>
      </c>
      <c r="N35" s="33">
        <v>3</v>
      </c>
      <c r="O35" s="1">
        <v>4</v>
      </c>
      <c r="P35" s="1">
        <v>5</v>
      </c>
      <c r="Q35" s="1">
        <v>6</v>
      </c>
      <c r="R35" s="1">
        <v>7</v>
      </c>
      <c r="S35" s="206">
        <v>8</v>
      </c>
      <c r="T35" s="206">
        <v>9</v>
      </c>
      <c r="U35" s="206">
        <v>10</v>
      </c>
      <c r="V35" s="1">
        <v>11</v>
      </c>
    </row>
    <row r="36" spans="2:22" ht="38.25" hidden="1" x14ac:dyDescent="0.25">
      <c r="B36" s="36" t="s">
        <v>58</v>
      </c>
      <c r="C36" s="179" t="s">
        <v>55</v>
      </c>
      <c r="D36" s="179" t="s">
        <v>39</v>
      </c>
      <c r="E36" s="180" t="s">
        <v>40</v>
      </c>
      <c r="F36" s="179" t="s">
        <v>41</v>
      </c>
      <c r="G36" s="179" t="s">
        <v>42</v>
      </c>
      <c r="H36" s="35" t="s">
        <v>59</v>
      </c>
      <c r="I36" s="179" t="s">
        <v>32</v>
      </c>
      <c r="J36" s="179" t="s">
        <v>33</v>
      </c>
      <c r="L36" s="197" t="s">
        <v>58</v>
      </c>
      <c r="M36" s="198" t="s">
        <v>55</v>
      </c>
      <c r="N36" s="198" t="s">
        <v>56</v>
      </c>
      <c r="O36" s="199" t="s">
        <v>60</v>
      </c>
      <c r="P36" s="198" t="s">
        <v>57</v>
      </c>
      <c r="Q36" s="198" t="s">
        <v>61</v>
      </c>
      <c r="R36" s="207" t="s">
        <v>59</v>
      </c>
      <c r="S36" s="198" t="s">
        <v>32</v>
      </c>
      <c r="T36" s="198" t="s">
        <v>33</v>
      </c>
      <c r="U36" s="198" t="s">
        <v>62</v>
      </c>
      <c r="V36" s="199" t="s">
        <v>63</v>
      </c>
    </row>
    <row r="37" spans="2:22" hidden="1" x14ac:dyDescent="0.25">
      <c r="B37" s="36" t="s">
        <v>157</v>
      </c>
      <c r="C37" s="36">
        <v>2.78</v>
      </c>
      <c r="D37" s="181">
        <v>0.84</v>
      </c>
      <c r="E37" s="181">
        <v>1.68</v>
      </c>
      <c r="F37" s="181">
        <v>0.84</v>
      </c>
      <c r="G37" s="181">
        <v>0.7</v>
      </c>
      <c r="H37" s="181">
        <v>0.7</v>
      </c>
      <c r="I37" s="181">
        <v>0.7</v>
      </c>
      <c r="J37" s="181">
        <v>0.2</v>
      </c>
      <c r="L37" s="197" t="s">
        <v>64</v>
      </c>
      <c r="M37" s="197">
        <v>2.78</v>
      </c>
      <c r="N37" s="200">
        <v>0.42</v>
      </c>
      <c r="O37" s="200">
        <v>0.84</v>
      </c>
      <c r="P37" s="200">
        <v>1.4</v>
      </c>
      <c r="Q37" s="200">
        <v>1.4</v>
      </c>
      <c r="R37" s="200">
        <v>0.7</v>
      </c>
      <c r="S37" s="200">
        <f>Q37</f>
        <v>1.4</v>
      </c>
      <c r="T37" s="200">
        <v>0.2</v>
      </c>
      <c r="U37" s="200">
        <v>0.7</v>
      </c>
      <c r="V37" s="199">
        <v>0.6</v>
      </c>
    </row>
    <row r="38" spans="2:22" hidden="1" x14ac:dyDescent="0.25">
      <c r="B38" s="36" t="s">
        <v>158</v>
      </c>
      <c r="C38" s="36">
        <v>2.78</v>
      </c>
      <c r="D38" s="181">
        <v>0.84</v>
      </c>
      <c r="E38" s="181">
        <v>1.68</v>
      </c>
      <c r="F38" s="181">
        <v>0.84</v>
      </c>
      <c r="G38" s="181">
        <v>0.7</v>
      </c>
      <c r="H38" s="181">
        <v>0.7</v>
      </c>
      <c r="I38" s="181">
        <f>G38</f>
        <v>0.7</v>
      </c>
      <c r="J38" s="181">
        <v>0.2</v>
      </c>
      <c r="L38" s="197" t="s">
        <v>52</v>
      </c>
      <c r="M38" s="197">
        <v>2.78</v>
      </c>
      <c r="N38" s="200">
        <v>0.42</v>
      </c>
      <c r="O38" s="200">
        <v>0.84</v>
      </c>
      <c r="P38" s="200">
        <v>1.4</v>
      </c>
      <c r="Q38" s="200">
        <v>1.4</v>
      </c>
      <c r="R38" s="200">
        <v>0.7</v>
      </c>
      <c r="S38" s="200">
        <f>Q38</f>
        <v>1.4</v>
      </c>
      <c r="T38" s="200">
        <v>0.2</v>
      </c>
      <c r="U38" s="200">
        <v>0.7</v>
      </c>
      <c r="V38" s="199">
        <v>0.6</v>
      </c>
    </row>
    <row r="39" spans="2:22" hidden="1" x14ac:dyDescent="0.25">
      <c r="B39" s="36" t="s">
        <v>159</v>
      </c>
      <c r="C39" s="36">
        <v>2.78</v>
      </c>
      <c r="D39" s="181">
        <v>0.84</v>
      </c>
      <c r="E39" s="181">
        <v>1.68</v>
      </c>
      <c r="F39" s="181">
        <v>0.84</v>
      </c>
      <c r="G39" s="181">
        <v>0.7</v>
      </c>
      <c r="H39" s="181">
        <v>0.7</v>
      </c>
      <c r="I39" s="181">
        <f>G39</f>
        <v>0.7</v>
      </c>
      <c r="J39" s="181">
        <v>0.2</v>
      </c>
      <c r="S39" s="183"/>
      <c r="T39" s="183"/>
      <c r="U39" s="183"/>
      <c r="V39" s="41"/>
    </row>
    <row r="40" spans="2:22" hidden="1" x14ac:dyDescent="0.25">
      <c r="B40" s="36" t="s">
        <v>160</v>
      </c>
      <c r="C40" s="36">
        <v>2.78</v>
      </c>
      <c r="D40" s="181">
        <v>0.84</v>
      </c>
      <c r="E40" s="181">
        <v>1.68</v>
      </c>
      <c r="F40" s="181">
        <v>0.84</v>
      </c>
      <c r="G40" s="181">
        <v>0.7</v>
      </c>
      <c r="H40" s="181">
        <v>0.7</v>
      </c>
      <c r="I40" s="181">
        <f>G40</f>
        <v>0.7</v>
      </c>
      <c r="J40" s="181">
        <v>0.2</v>
      </c>
      <c r="L40" s="33" t="s">
        <v>65</v>
      </c>
      <c r="M40" s="33">
        <v>2</v>
      </c>
      <c r="N40" s="33">
        <v>3</v>
      </c>
      <c r="O40" s="1">
        <v>4</v>
      </c>
      <c r="P40" s="1">
        <v>5</v>
      </c>
      <c r="Q40" s="1">
        <v>6</v>
      </c>
      <c r="R40" s="1">
        <v>7</v>
      </c>
      <c r="S40" s="1">
        <v>8</v>
      </c>
      <c r="T40" s="1">
        <v>9</v>
      </c>
      <c r="U40" s="1">
        <v>10</v>
      </c>
      <c r="V40" s="1">
        <v>11</v>
      </c>
    </row>
    <row r="41" spans="2:22" ht="25.5" hidden="1" x14ac:dyDescent="0.25">
      <c r="B41" s="36" t="s">
        <v>161</v>
      </c>
      <c r="C41" s="36">
        <v>2.78</v>
      </c>
      <c r="D41" s="181">
        <v>0.84</v>
      </c>
      <c r="E41" s="181">
        <v>1.68</v>
      </c>
      <c r="F41" s="181">
        <v>0.84</v>
      </c>
      <c r="G41" s="181">
        <v>0.7</v>
      </c>
      <c r="H41" s="181">
        <v>0.7</v>
      </c>
      <c r="I41" s="181">
        <f>G41</f>
        <v>0.7</v>
      </c>
      <c r="J41" s="181">
        <v>0.2</v>
      </c>
      <c r="L41" s="198" t="s">
        <v>48</v>
      </c>
      <c r="M41" s="198" t="s">
        <v>55</v>
      </c>
      <c r="N41" s="198" t="s">
        <v>56</v>
      </c>
      <c r="O41" s="199" t="s">
        <v>60</v>
      </c>
      <c r="P41" s="198" t="s">
        <v>57</v>
      </c>
      <c r="Q41" s="198" t="s">
        <v>61</v>
      </c>
      <c r="R41" s="207" t="s">
        <v>66</v>
      </c>
      <c r="S41" s="198" t="s">
        <v>32</v>
      </c>
      <c r="T41" s="198" t="s">
        <v>33</v>
      </c>
      <c r="U41" s="198" t="s">
        <v>62</v>
      </c>
      <c r="V41" s="199" t="s">
        <v>63</v>
      </c>
    </row>
    <row r="42" spans="2:22" hidden="1" x14ac:dyDescent="0.25">
      <c r="B42" s="182"/>
      <c r="C42" s="182"/>
      <c r="D42" s="182"/>
      <c r="E42" s="183"/>
      <c r="F42" s="183"/>
      <c r="G42" s="183"/>
      <c r="H42" s="183"/>
      <c r="L42" s="197" t="s">
        <v>64</v>
      </c>
      <c r="M42" s="197">
        <v>16</v>
      </c>
      <c r="N42" s="200">
        <v>8</v>
      </c>
      <c r="O42" s="200">
        <v>90</v>
      </c>
      <c r="P42" s="200">
        <v>100</v>
      </c>
      <c r="Q42" s="200">
        <v>100</v>
      </c>
      <c r="R42" s="200">
        <v>45</v>
      </c>
      <c r="S42" s="200">
        <v>100</v>
      </c>
      <c r="T42" s="200">
        <v>10</v>
      </c>
      <c r="U42" s="200">
        <v>20</v>
      </c>
      <c r="V42" s="199">
        <v>144</v>
      </c>
    </row>
    <row r="43" spans="2:22" hidden="1" x14ac:dyDescent="0.25">
      <c r="B43" s="33" t="s">
        <v>65</v>
      </c>
      <c r="C43" s="33">
        <v>2</v>
      </c>
      <c r="D43" s="33">
        <v>3</v>
      </c>
      <c r="E43" s="1">
        <v>4</v>
      </c>
      <c r="F43" s="1">
        <v>5</v>
      </c>
      <c r="G43" s="1">
        <v>6</v>
      </c>
      <c r="H43" s="1">
        <v>7</v>
      </c>
      <c r="I43" s="1">
        <v>8</v>
      </c>
      <c r="J43" s="1">
        <v>9</v>
      </c>
      <c r="L43" s="197" t="s">
        <v>52</v>
      </c>
      <c r="M43" s="200">
        <v>16</v>
      </c>
      <c r="N43" s="200">
        <v>8</v>
      </c>
      <c r="O43" s="200">
        <v>90</v>
      </c>
      <c r="P43" s="200">
        <v>100</v>
      </c>
      <c r="Q43" s="200">
        <v>100</v>
      </c>
      <c r="R43" s="200">
        <v>45</v>
      </c>
      <c r="S43" s="200">
        <v>100</v>
      </c>
      <c r="T43" s="200">
        <v>10</v>
      </c>
      <c r="U43" s="200">
        <v>20</v>
      </c>
      <c r="V43" s="199">
        <v>144</v>
      </c>
    </row>
    <row r="44" spans="2:22" ht="38.25" hidden="1" x14ac:dyDescent="0.25">
      <c r="B44" s="179" t="s">
        <v>48</v>
      </c>
      <c r="C44" s="179" t="s">
        <v>55</v>
      </c>
      <c r="D44" s="179" t="s">
        <v>39</v>
      </c>
      <c r="E44" s="180" t="s">
        <v>40</v>
      </c>
      <c r="F44" s="179" t="s">
        <v>41</v>
      </c>
      <c r="G44" s="179" t="s">
        <v>42</v>
      </c>
      <c r="H44" s="35" t="s">
        <v>59</v>
      </c>
      <c r="I44" s="179" t="s">
        <v>32</v>
      </c>
      <c r="J44" s="179" t="s">
        <v>33</v>
      </c>
      <c r="S44" s="183"/>
      <c r="T44" s="183"/>
      <c r="U44" s="183"/>
      <c r="V44" s="41"/>
    </row>
    <row r="45" spans="2:22" hidden="1" x14ac:dyDescent="0.25">
      <c r="B45" s="36" t="s">
        <v>157</v>
      </c>
      <c r="C45" s="36">
        <v>40</v>
      </c>
      <c r="D45" s="181">
        <v>60</v>
      </c>
      <c r="E45" s="181">
        <v>60</v>
      </c>
      <c r="F45" s="181">
        <v>20</v>
      </c>
      <c r="G45" s="181">
        <v>100</v>
      </c>
      <c r="H45" s="181">
        <v>45</v>
      </c>
      <c r="I45" s="181">
        <v>100</v>
      </c>
      <c r="J45" s="181">
        <v>20</v>
      </c>
      <c r="L45" s="33" t="s">
        <v>46</v>
      </c>
      <c r="M45" s="33">
        <v>2</v>
      </c>
      <c r="N45" s="33">
        <v>3</v>
      </c>
      <c r="O45" s="1">
        <v>4</v>
      </c>
      <c r="P45" s="1">
        <v>5</v>
      </c>
      <c r="Q45" s="1">
        <v>6</v>
      </c>
      <c r="R45" s="1">
        <v>7</v>
      </c>
      <c r="S45" s="1">
        <v>8</v>
      </c>
      <c r="T45" s="1">
        <v>9</v>
      </c>
      <c r="U45" s="1">
        <v>10</v>
      </c>
      <c r="V45" s="1">
        <v>11</v>
      </c>
    </row>
    <row r="46" spans="2:22" ht="25.5" hidden="1" x14ac:dyDescent="0.25">
      <c r="B46" s="36" t="s">
        <v>158</v>
      </c>
      <c r="C46" s="181">
        <v>40</v>
      </c>
      <c r="D46" s="181">
        <v>60</v>
      </c>
      <c r="E46" s="181">
        <v>60</v>
      </c>
      <c r="F46" s="181">
        <v>20</v>
      </c>
      <c r="G46" s="181">
        <v>100</v>
      </c>
      <c r="H46" s="181">
        <v>45</v>
      </c>
      <c r="I46" s="181">
        <v>100</v>
      </c>
      <c r="J46" s="181">
        <v>20</v>
      </c>
      <c r="L46" s="198" t="s">
        <v>48</v>
      </c>
      <c r="M46" s="198" t="s">
        <v>55</v>
      </c>
      <c r="N46" s="198" t="s">
        <v>56</v>
      </c>
      <c r="O46" s="199" t="s">
        <v>60</v>
      </c>
      <c r="P46" s="198" t="s">
        <v>57</v>
      </c>
      <c r="Q46" s="198" t="s">
        <v>61</v>
      </c>
      <c r="R46" s="207" t="s">
        <v>59</v>
      </c>
      <c r="S46" s="198" t="s">
        <v>32</v>
      </c>
      <c r="T46" s="198" t="s">
        <v>33</v>
      </c>
      <c r="U46" s="198" t="s">
        <v>62</v>
      </c>
      <c r="V46" s="199" t="s">
        <v>63</v>
      </c>
    </row>
    <row r="47" spans="2:22" hidden="1" x14ac:dyDescent="0.25">
      <c r="B47" s="36" t="s">
        <v>159</v>
      </c>
      <c r="C47" s="181">
        <v>20</v>
      </c>
      <c r="D47" s="181">
        <v>60</v>
      </c>
      <c r="E47" s="181">
        <v>60</v>
      </c>
      <c r="F47" s="181">
        <v>20</v>
      </c>
      <c r="G47" s="181">
        <v>100</v>
      </c>
      <c r="H47" s="181">
        <v>45</v>
      </c>
      <c r="I47" s="181">
        <v>100</v>
      </c>
      <c r="J47" s="181">
        <v>20</v>
      </c>
      <c r="L47" s="197" t="s">
        <v>64</v>
      </c>
      <c r="M47" s="197">
        <v>9.1999999999999993</v>
      </c>
      <c r="N47" s="200">
        <v>0.26500000000000001</v>
      </c>
      <c r="O47" s="200">
        <v>0.9</v>
      </c>
      <c r="P47" s="200">
        <v>0.5</v>
      </c>
      <c r="Q47" s="200">
        <v>2.6</v>
      </c>
      <c r="R47" s="200">
        <v>11.5</v>
      </c>
      <c r="S47" s="200">
        <v>1.3</v>
      </c>
      <c r="T47" s="200">
        <v>7</v>
      </c>
      <c r="U47" s="197">
        <v>0.15</v>
      </c>
      <c r="V47" s="199">
        <v>3.2</v>
      </c>
    </row>
    <row r="48" spans="2:22" hidden="1" x14ac:dyDescent="0.25">
      <c r="B48" s="36" t="s">
        <v>160</v>
      </c>
      <c r="C48" s="181">
        <v>20</v>
      </c>
      <c r="D48" s="181">
        <v>60</v>
      </c>
      <c r="E48" s="181">
        <v>60</v>
      </c>
      <c r="F48" s="181">
        <v>20</v>
      </c>
      <c r="G48" s="181">
        <v>100</v>
      </c>
      <c r="H48" s="181">
        <v>45</v>
      </c>
      <c r="I48" s="181">
        <v>100</v>
      </c>
      <c r="J48" s="181">
        <v>20</v>
      </c>
      <c r="L48" s="197" t="s">
        <v>52</v>
      </c>
      <c r="M48" s="200">
        <v>21.648</v>
      </c>
      <c r="N48" s="200">
        <v>0.26500000000000001</v>
      </c>
      <c r="O48" s="200">
        <v>0.9</v>
      </c>
      <c r="P48" s="200">
        <v>0.5</v>
      </c>
      <c r="Q48" s="200">
        <v>2.6</v>
      </c>
      <c r="R48" s="200">
        <v>11.5</v>
      </c>
      <c r="S48" s="200">
        <v>1.3</v>
      </c>
      <c r="T48" s="200">
        <v>7</v>
      </c>
      <c r="U48" s="197">
        <v>0.15</v>
      </c>
      <c r="V48" s="199">
        <v>3.2</v>
      </c>
    </row>
    <row r="49" spans="2:22" hidden="1" x14ac:dyDescent="0.25">
      <c r="B49" s="36" t="s">
        <v>161</v>
      </c>
      <c r="C49" s="36">
        <v>20</v>
      </c>
      <c r="D49" s="181">
        <v>60</v>
      </c>
      <c r="E49" s="181">
        <v>60</v>
      </c>
      <c r="F49" s="181">
        <v>20</v>
      </c>
      <c r="G49" s="181">
        <v>100</v>
      </c>
      <c r="H49" s="181">
        <v>45</v>
      </c>
      <c r="I49" s="181">
        <v>100</v>
      </c>
      <c r="J49" s="181">
        <v>20</v>
      </c>
      <c r="S49" s="183"/>
      <c r="T49" s="183"/>
      <c r="U49" s="182"/>
      <c r="V49" s="41"/>
    </row>
    <row r="50" spans="2:22" hidden="1" x14ac:dyDescent="0.25">
      <c r="B50" s="184"/>
      <c r="H50" s="183"/>
      <c r="L50" s="33" t="s">
        <v>47</v>
      </c>
      <c r="M50" s="33">
        <v>2</v>
      </c>
      <c r="N50" s="33">
        <v>3</v>
      </c>
      <c r="O50" s="1">
        <v>4</v>
      </c>
      <c r="P50" s="1">
        <v>5</v>
      </c>
      <c r="Q50" s="1">
        <v>6</v>
      </c>
      <c r="R50" s="1">
        <v>7</v>
      </c>
      <c r="S50" s="1">
        <v>8</v>
      </c>
      <c r="T50" s="1">
        <v>9</v>
      </c>
      <c r="U50" s="1">
        <v>10</v>
      </c>
      <c r="V50" s="41">
        <v>11</v>
      </c>
    </row>
    <row r="51" spans="2:22" ht="25.5" hidden="1" x14ac:dyDescent="0.25">
      <c r="B51" s="33" t="s">
        <v>46</v>
      </c>
      <c r="C51" s="33">
        <v>2</v>
      </c>
      <c r="D51" s="33">
        <v>3</v>
      </c>
      <c r="E51" s="1">
        <v>4</v>
      </c>
      <c r="F51" s="1">
        <v>5</v>
      </c>
      <c r="G51" s="1">
        <v>6</v>
      </c>
      <c r="H51" s="1">
        <v>7</v>
      </c>
      <c r="I51" s="1">
        <v>8</v>
      </c>
      <c r="J51" s="1">
        <v>9</v>
      </c>
      <c r="L51" s="198" t="s">
        <v>48</v>
      </c>
      <c r="M51" s="198" t="s">
        <v>55</v>
      </c>
      <c r="N51" s="198" t="s">
        <v>56</v>
      </c>
      <c r="O51" s="199" t="s">
        <v>60</v>
      </c>
      <c r="P51" s="198" t="s">
        <v>57</v>
      </c>
      <c r="Q51" s="198" t="s">
        <v>61</v>
      </c>
      <c r="R51" s="207" t="s">
        <v>67</v>
      </c>
      <c r="S51" s="198" t="s">
        <v>32</v>
      </c>
      <c r="T51" s="198" t="s">
        <v>33</v>
      </c>
      <c r="U51" s="198" t="s">
        <v>62</v>
      </c>
      <c r="V51" s="199" t="s">
        <v>63</v>
      </c>
    </row>
    <row r="52" spans="2:22" ht="38.25" hidden="1" x14ac:dyDescent="0.25">
      <c r="B52" s="179" t="s">
        <v>48</v>
      </c>
      <c r="C52" s="179" t="s">
        <v>55</v>
      </c>
      <c r="D52" s="179" t="s">
        <v>39</v>
      </c>
      <c r="E52" s="180" t="s">
        <v>40</v>
      </c>
      <c r="F52" s="179" t="s">
        <v>41</v>
      </c>
      <c r="G52" s="179" t="s">
        <v>42</v>
      </c>
      <c r="H52" s="35" t="s">
        <v>59</v>
      </c>
      <c r="I52" s="179" t="s">
        <v>32</v>
      </c>
      <c r="J52" s="179" t="s">
        <v>33</v>
      </c>
      <c r="L52" s="197" t="s">
        <v>64</v>
      </c>
      <c r="M52" s="197">
        <v>0.06</v>
      </c>
      <c r="N52" s="200">
        <v>8.9999999999999998E-4</v>
      </c>
      <c r="O52" s="200">
        <v>8.9999999999999998E-4</v>
      </c>
      <c r="P52" s="200">
        <v>2.0000000000000002E-5</v>
      </c>
      <c r="Q52" s="200">
        <v>8.9999999999999993E-3</v>
      </c>
      <c r="R52" s="200">
        <v>2.5000000000000001E-2</v>
      </c>
      <c r="S52" s="200">
        <v>5.9999999999999995E-4</v>
      </c>
      <c r="T52" s="200">
        <v>0.03</v>
      </c>
      <c r="U52" s="200">
        <v>5.0000000000000002E-5</v>
      </c>
      <c r="V52" s="199">
        <v>4.4000000000000003E-3</v>
      </c>
    </row>
    <row r="53" spans="2:22" hidden="1" x14ac:dyDescent="0.25">
      <c r="B53" s="36" t="s">
        <v>157</v>
      </c>
      <c r="C53" s="36">
        <v>14.7</v>
      </c>
      <c r="D53" s="181">
        <v>5</v>
      </c>
      <c r="E53" s="181">
        <v>11.6</v>
      </c>
      <c r="F53" s="181">
        <v>12.4</v>
      </c>
      <c r="G53" s="181">
        <v>2.6</v>
      </c>
      <c r="H53" s="181">
        <v>11.5</v>
      </c>
      <c r="I53" s="181">
        <v>1.3</v>
      </c>
      <c r="J53" s="181">
        <v>18</v>
      </c>
      <c r="L53" s="197" t="s">
        <v>52</v>
      </c>
      <c r="M53" s="197">
        <v>0.06</v>
      </c>
      <c r="N53" s="200">
        <v>8.9999999999999998E-4</v>
      </c>
      <c r="O53" s="200">
        <v>8.9999999999999998E-4</v>
      </c>
      <c r="P53" s="200">
        <v>2.0000000000000002E-5</v>
      </c>
      <c r="Q53" s="200">
        <v>8.9999999999999993E-3</v>
      </c>
      <c r="R53" s="200">
        <v>2.5000000000000001E-2</v>
      </c>
      <c r="S53" s="200">
        <v>5.9999999999999995E-4</v>
      </c>
      <c r="T53" s="200">
        <v>0.03</v>
      </c>
      <c r="U53" s="200">
        <v>5.0000000000000002E-5</v>
      </c>
      <c r="V53" s="199">
        <v>4.4000000000000003E-3</v>
      </c>
    </row>
    <row r="54" spans="2:22" hidden="1" x14ac:dyDescent="0.25">
      <c r="B54" s="36" t="s">
        <v>158</v>
      </c>
      <c r="C54" s="181">
        <v>15.45</v>
      </c>
      <c r="D54" s="181">
        <v>5</v>
      </c>
      <c r="E54" s="181">
        <v>11.6</v>
      </c>
      <c r="F54" s="181">
        <v>12.4</v>
      </c>
      <c r="G54" s="181">
        <v>2.6</v>
      </c>
      <c r="H54" s="181">
        <v>11.5</v>
      </c>
      <c r="I54" s="181">
        <v>1.3</v>
      </c>
      <c r="J54" s="181">
        <v>18</v>
      </c>
      <c r="S54" s="183"/>
      <c r="T54" s="183"/>
      <c r="U54" s="183"/>
      <c r="V54" s="41"/>
    </row>
    <row r="55" spans="2:22" hidden="1" x14ac:dyDescent="0.25">
      <c r="B55" s="36" t="s">
        <v>159</v>
      </c>
      <c r="C55" s="181">
        <v>20</v>
      </c>
      <c r="D55" s="181">
        <v>5</v>
      </c>
      <c r="E55" s="181">
        <v>11.6</v>
      </c>
      <c r="F55" s="181">
        <v>12.4</v>
      </c>
      <c r="G55" s="181">
        <v>2.6</v>
      </c>
      <c r="H55" s="181">
        <v>11.5</v>
      </c>
      <c r="I55" s="181">
        <v>1.3</v>
      </c>
      <c r="J55" s="181">
        <v>18</v>
      </c>
    </row>
    <row r="56" spans="2:22" hidden="1" x14ac:dyDescent="0.25">
      <c r="B56" s="36" t="s">
        <v>160</v>
      </c>
      <c r="C56" s="181">
        <v>22</v>
      </c>
      <c r="D56" s="181">
        <v>5</v>
      </c>
      <c r="E56" s="181">
        <v>11.6</v>
      </c>
      <c r="F56" s="181">
        <v>12.4</v>
      </c>
      <c r="G56" s="181">
        <v>2.6</v>
      </c>
      <c r="H56" s="181">
        <v>11.5</v>
      </c>
      <c r="I56" s="181">
        <v>1.3</v>
      </c>
      <c r="J56" s="181">
        <v>18</v>
      </c>
    </row>
    <row r="57" spans="2:22" hidden="1" x14ac:dyDescent="0.25">
      <c r="B57" s="36" t="s">
        <v>161</v>
      </c>
      <c r="C57" s="36">
        <v>29</v>
      </c>
      <c r="D57" s="181">
        <v>5</v>
      </c>
      <c r="E57" s="181">
        <v>11.6</v>
      </c>
      <c r="F57" s="181">
        <v>12.4</v>
      </c>
      <c r="G57" s="181">
        <v>2.6</v>
      </c>
      <c r="H57" s="181">
        <v>11.5</v>
      </c>
      <c r="I57" s="181">
        <v>1.3</v>
      </c>
      <c r="J57" s="181">
        <v>18</v>
      </c>
    </row>
    <row r="58" spans="2:22" hidden="1" x14ac:dyDescent="0.25">
      <c r="B58" s="185"/>
      <c r="C58" s="185"/>
      <c r="H58" s="183"/>
    </row>
    <row r="59" spans="2:22" hidden="1" x14ac:dyDescent="0.25">
      <c r="B59" s="33" t="s">
        <v>47</v>
      </c>
      <c r="C59" s="33">
        <v>2</v>
      </c>
      <c r="D59" s="33">
        <v>3</v>
      </c>
      <c r="E59" s="1">
        <v>4</v>
      </c>
      <c r="F59" s="1">
        <v>5</v>
      </c>
      <c r="G59" s="1">
        <v>6</v>
      </c>
      <c r="H59" s="1">
        <v>7</v>
      </c>
      <c r="I59" s="1">
        <v>8</v>
      </c>
      <c r="J59" s="1">
        <v>9</v>
      </c>
    </row>
    <row r="60" spans="2:22" ht="38.25" hidden="1" x14ac:dyDescent="0.25">
      <c r="B60" s="179" t="s">
        <v>48</v>
      </c>
      <c r="C60" s="179" t="s">
        <v>55</v>
      </c>
      <c r="D60" s="179" t="s">
        <v>39</v>
      </c>
      <c r="E60" s="180" t="s">
        <v>40</v>
      </c>
      <c r="F60" s="179" t="s">
        <v>41</v>
      </c>
      <c r="G60" s="179" t="s">
        <v>42</v>
      </c>
      <c r="H60" s="35" t="s">
        <v>59</v>
      </c>
      <c r="I60" s="179" t="s">
        <v>32</v>
      </c>
      <c r="J60" s="179" t="s">
        <v>33</v>
      </c>
    </row>
    <row r="61" spans="2:22" hidden="1" x14ac:dyDescent="0.25">
      <c r="B61" s="36" t="s">
        <v>157</v>
      </c>
      <c r="C61" s="36">
        <v>0.06</v>
      </c>
      <c r="D61" s="181">
        <v>8.9999999999999993E-3</v>
      </c>
      <c r="E61" s="181">
        <v>2.3E-2</v>
      </c>
      <c r="F61" s="181">
        <v>3.2000000000000001E-2</v>
      </c>
      <c r="G61" s="181">
        <v>0.01</v>
      </c>
      <c r="H61" s="181">
        <v>2.5000000000000001E-2</v>
      </c>
      <c r="I61" s="181">
        <v>5.9999999999999995E-4</v>
      </c>
      <c r="J61" s="181">
        <v>0.1</v>
      </c>
    </row>
    <row r="62" spans="2:22" hidden="1" x14ac:dyDescent="0.25">
      <c r="B62" s="36" t="s">
        <v>158</v>
      </c>
      <c r="C62" s="36">
        <v>0.06</v>
      </c>
      <c r="D62" s="181">
        <v>8.9999999999999993E-3</v>
      </c>
      <c r="E62" s="181">
        <v>2.3E-2</v>
      </c>
      <c r="F62" s="181">
        <v>3.2000000000000001E-2</v>
      </c>
      <c r="G62" s="181">
        <v>0.01</v>
      </c>
      <c r="H62" s="181">
        <v>2.5000000000000001E-2</v>
      </c>
      <c r="I62" s="181">
        <v>5.9999999999999995E-4</v>
      </c>
      <c r="J62" s="181">
        <v>0.1</v>
      </c>
    </row>
    <row r="63" spans="2:22" hidden="1" x14ac:dyDescent="0.25">
      <c r="B63" s="36" t="s">
        <v>159</v>
      </c>
      <c r="C63" s="36">
        <v>0.06</v>
      </c>
      <c r="D63" s="181">
        <v>8.9999999999999993E-3</v>
      </c>
      <c r="E63" s="181">
        <v>2.3E-2</v>
      </c>
      <c r="F63" s="181">
        <v>3.2000000000000001E-2</v>
      </c>
      <c r="G63" s="181">
        <v>0.01</v>
      </c>
      <c r="H63" s="181">
        <v>2.5000000000000001E-2</v>
      </c>
      <c r="I63" s="181">
        <v>5.9999999999999995E-4</v>
      </c>
      <c r="J63" s="181">
        <v>0.1</v>
      </c>
    </row>
    <row r="64" spans="2:22" hidden="1" x14ac:dyDescent="0.25">
      <c r="B64" s="36" t="s">
        <v>160</v>
      </c>
      <c r="C64" s="36">
        <v>0.06</v>
      </c>
      <c r="D64" s="181">
        <v>8.9999999999999993E-3</v>
      </c>
      <c r="E64" s="181">
        <v>2.3E-2</v>
      </c>
      <c r="F64" s="181">
        <v>3.2000000000000001E-2</v>
      </c>
      <c r="G64" s="181">
        <v>0.01</v>
      </c>
      <c r="H64" s="181">
        <v>2.5000000000000001E-2</v>
      </c>
      <c r="I64" s="181">
        <v>5.9999999999999995E-4</v>
      </c>
      <c r="J64" s="181">
        <v>0.1</v>
      </c>
    </row>
    <row r="65" spans="2:10" hidden="1" x14ac:dyDescent="0.25">
      <c r="B65" s="36" t="s">
        <v>161</v>
      </c>
      <c r="C65" s="36">
        <v>0.06</v>
      </c>
      <c r="D65" s="181">
        <v>8.9999999999999993E-3</v>
      </c>
      <c r="E65" s="181">
        <v>2.3E-2</v>
      </c>
      <c r="F65" s="181">
        <v>3.2000000000000001E-2</v>
      </c>
      <c r="G65" s="181">
        <v>0.01</v>
      </c>
      <c r="H65" s="181">
        <v>2.5000000000000001E-2</v>
      </c>
      <c r="I65" s="181">
        <v>5.9999999999999995E-4</v>
      </c>
      <c r="J65" s="181">
        <v>0.1</v>
      </c>
    </row>
    <row r="66" spans="2:10" hidden="1" x14ac:dyDescent="0.25">
      <c r="B66" s="186"/>
      <c r="C66" s="186"/>
      <c r="D66" s="186"/>
      <c r="E66" s="187"/>
      <c r="F66" s="187"/>
      <c r="G66" s="187"/>
      <c r="H66" s="183"/>
      <c r="J66" s="183"/>
    </row>
    <row r="108" spans="2:7" hidden="1" x14ac:dyDescent="0.25">
      <c r="B108" s="188"/>
      <c r="C108" s="188"/>
      <c r="D108" s="188"/>
      <c r="E108" s="188"/>
      <c r="F108" s="188"/>
      <c r="G108" s="188"/>
    </row>
    <row r="109" spans="2:7" hidden="1" x14ac:dyDescent="0.25">
      <c r="B109" s="188"/>
      <c r="C109" s="188"/>
      <c r="D109" s="188"/>
      <c r="E109" s="188"/>
      <c r="F109" s="188"/>
      <c r="G109" s="188"/>
    </row>
    <row r="110" spans="2:7" hidden="1" x14ac:dyDescent="0.25">
      <c r="B110" s="188"/>
      <c r="C110" s="188"/>
      <c r="D110" s="188"/>
      <c r="E110" s="188"/>
      <c r="F110" s="188"/>
      <c r="G110" s="188"/>
    </row>
    <row r="111" spans="2:7" hidden="1" x14ac:dyDescent="0.25">
      <c r="B111" s="188"/>
      <c r="C111" s="188"/>
      <c r="D111" s="188"/>
      <c r="E111" s="188"/>
      <c r="F111" s="188"/>
      <c r="G111" s="188"/>
    </row>
  </sheetData>
  <sheetProtection algorithmName="SHA-512" hashValue="2NfC3KCXucEF6GcvRthuTgSo+xmoksdeO0C/r7WuRPvndRwcI1soGKng8XxJ0Y/ippk1ssqjJDXZ9DaHK0a5dA==" saltValue="EPR8ZrTp5Pg80mFN692KMw==" spinCount="100000" sheet="1" objects="1" scenarios="1"/>
  <mergeCells count="9">
    <mergeCell ref="C9:E9"/>
    <mergeCell ref="M9:O9"/>
    <mergeCell ref="B9:B10"/>
    <mergeCell ref="L9:L10"/>
    <mergeCell ref="C5:D5"/>
    <mergeCell ref="M5:N5"/>
    <mergeCell ref="C6:D6"/>
    <mergeCell ref="M6:N6"/>
    <mergeCell ref="M7:N7"/>
  </mergeCells>
  <conditionalFormatting sqref="N16:N17">
    <cfRule type="expression" dxfId="10" priority="3">
      <formula>IF($M$6="усиленный",1,0)</formula>
    </cfRule>
  </conditionalFormatting>
  <dataValidations count="3">
    <dataValidation type="list" allowBlank="1" showInputMessage="1" showErrorMessage="1" sqref="C5:D5" xr:uid="{00000000-0002-0000-0200-000000000000}">
      <formula1>RWNFB</formula1>
    </dataValidation>
    <dataValidation type="list" allowBlank="1" showInputMessage="1" showErrorMessage="1" sqref="M5:N5" xr:uid="{00000000-0002-0000-0200-000001000000}">
      <formula1>QAQKW</formula1>
    </dataValidation>
    <dataValidation type="list" allowBlank="1" showInputMessage="1" showErrorMessage="1" sqref="M6:N6" xr:uid="{00000000-0002-0000-0200-000002000000}">
      <formula1>"простой,усиленный"</formula1>
    </dataValidation>
  </dataValidations>
  <pageMargins left="0.70833333333333304" right="0.70833333333333304" top="0.74791666666666701" bottom="0.74791666666666701" header="0.51180555555555496" footer="0.51180555555555496"/>
  <pageSetup paperSize="9" scale="86" firstPageNumber="0" orientation="landscape" useFirstPageNumber="1" horizontalDpi="300" verticalDpi="300"/>
  <colBreaks count="1" manualBreakCount="1">
    <brk id="1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XFC66"/>
  <sheetViews>
    <sheetView showGridLines="0" zoomScaleNormal="100" workbookViewId="0"/>
  </sheetViews>
  <sheetFormatPr defaultColWidth="0" defaultRowHeight="15" zeroHeight="1" x14ac:dyDescent="0.25"/>
  <cols>
    <col min="1" max="1" width="2.85546875" style="42" customWidth="1"/>
    <col min="2" max="2" width="18.5703125" style="42" customWidth="1"/>
    <col min="3" max="3" width="10.28515625" style="42" customWidth="1"/>
    <col min="4" max="4" width="9.42578125" style="42" customWidth="1"/>
    <col min="5" max="5" width="7.7109375" style="42" customWidth="1"/>
    <col min="6" max="6" width="10.7109375" style="42" customWidth="1"/>
    <col min="7" max="7" width="8" style="42" customWidth="1"/>
    <col min="8" max="8" width="9.140625" style="42" customWidth="1"/>
    <col min="9" max="9" width="4" style="42" customWidth="1"/>
    <col min="10" max="10" width="18.5703125" style="42" customWidth="1"/>
    <col min="11" max="14" width="9.140625" style="42" customWidth="1"/>
    <col min="15" max="15" width="8" style="42" customWidth="1"/>
    <col min="16" max="16" width="9.140625" style="42" customWidth="1"/>
    <col min="17" max="17" width="4" style="42" customWidth="1"/>
    <col min="18" max="18" width="18.5703125" style="42" customWidth="1"/>
    <col min="19" max="24" width="9.140625" style="42" customWidth="1"/>
    <col min="25" max="25" width="4.28515625" style="42" customWidth="1"/>
    <col min="26" max="1025" width="9.140625" style="42" hidden="1"/>
    <col min="1026" max="16382" width="9.140625" hidden="1"/>
    <col min="16383" max="16383" width="5.28515625" hidden="1"/>
    <col min="16384" max="16384" width="13.85546875" hidden="1"/>
  </cols>
  <sheetData>
    <row r="1" spans="2:25" ht="24" customHeight="1" x14ac:dyDescent="0.25"/>
    <row r="2" spans="2:25" ht="24" customHeight="1" x14ac:dyDescent="0.25"/>
    <row r="3" spans="2:25" ht="15.75" x14ac:dyDescent="0.25">
      <c r="B3" s="230" t="s">
        <v>149</v>
      </c>
      <c r="C3" s="231"/>
      <c r="D3" s="231"/>
      <c r="E3" s="231"/>
      <c r="G3" s="44"/>
      <c r="J3" s="230" t="s">
        <v>68</v>
      </c>
      <c r="K3" s="231"/>
      <c r="L3" s="231"/>
      <c r="M3" s="231"/>
      <c r="R3" s="230" t="s">
        <v>69</v>
      </c>
      <c r="S3" s="231"/>
      <c r="T3" s="231"/>
      <c r="U3" s="231"/>
    </row>
    <row r="4" spans="2:25" x14ac:dyDescent="0.25"/>
    <row r="5" spans="2:25" x14ac:dyDescent="0.25">
      <c r="B5" s="128" t="s">
        <v>70</v>
      </c>
      <c r="C5" s="129">
        <v>40</v>
      </c>
      <c r="D5" s="130" t="s">
        <v>13</v>
      </c>
      <c r="E5" s="79"/>
      <c r="G5" s="44"/>
      <c r="J5" s="296" t="s">
        <v>71</v>
      </c>
      <c r="K5" s="296"/>
      <c r="L5" s="130"/>
      <c r="M5" s="79"/>
      <c r="N5" s="78"/>
      <c r="O5" s="79"/>
      <c r="P5" s="79"/>
      <c r="R5" s="296" t="s">
        <v>71</v>
      </c>
      <c r="S5" s="296"/>
      <c r="T5" s="130"/>
      <c r="U5" s="79"/>
      <c r="V5" s="78"/>
      <c r="W5" s="79"/>
      <c r="X5" s="79"/>
    </row>
    <row r="6" spans="2:25" ht="13.5" customHeight="1" x14ac:dyDescent="0.25">
      <c r="B6" s="128" t="s">
        <v>72</v>
      </c>
      <c r="C6" s="129" t="s">
        <v>95</v>
      </c>
      <c r="D6" s="130" t="s">
        <v>13</v>
      </c>
      <c r="E6" s="79"/>
      <c r="J6" s="128" t="s">
        <v>72</v>
      </c>
      <c r="K6" s="129" t="s">
        <v>73</v>
      </c>
      <c r="L6" s="130" t="s">
        <v>13</v>
      </c>
      <c r="M6" s="79"/>
      <c r="N6" s="79"/>
      <c r="O6" s="79"/>
      <c r="P6" s="79"/>
      <c r="R6" s="128" t="s">
        <v>72</v>
      </c>
      <c r="S6" s="129" t="s">
        <v>74</v>
      </c>
      <c r="T6" s="130" t="s">
        <v>13</v>
      </c>
      <c r="U6" s="79"/>
      <c r="V6" s="79"/>
      <c r="W6" s="79"/>
      <c r="X6" s="79"/>
    </row>
    <row r="7" spans="2:25" x14ac:dyDescent="0.25">
      <c r="B7" s="128" t="s">
        <v>14</v>
      </c>
      <c r="C7" s="129">
        <v>750</v>
      </c>
      <c r="D7" s="131" t="s">
        <v>15</v>
      </c>
      <c r="J7" s="128" t="s">
        <v>14</v>
      </c>
      <c r="K7" s="129">
        <v>200</v>
      </c>
      <c r="L7" s="131" t="s">
        <v>15</v>
      </c>
      <c r="M7" s="79"/>
      <c r="N7" s="79"/>
      <c r="O7" s="79"/>
      <c r="P7" s="79"/>
      <c r="R7" s="128" t="s">
        <v>14</v>
      </c>
      <c r="S7" s="129">
        <v>200</v>
      </c>
      <c r="T7" s="131" t="s">
        <v>15</v>
      </c>
      <c r="U7" s="79"/>
      <c r="V7" s="79"/>
      <c r="W7" s="79"/>
      <c r="X7" s="79"/>
    </row>
    <row r="8" spans="2:25" ht="13.5" customHeight="1" x14ac:dyDescent="0.25">
      <c r="B8" s="46"/>
      <c r="C8" s="46"/>
      <c r="D8" s="47"/>
      <c r="E8" s="47"/>
      <c r="F8" s="47"/>
      <c r="G8" s="47"/>
      <c r="H8" s="47"/>
      <c r="M8" s="47"/>
      <c r="N8" s="79"/>
      <c r="O8" s="79"/>
      <c r="P8" s="79"/>
      <c r="U8" s="79"/>
      <c r="V8" s="79"/>
      <c r="W8" s="79"/>
      <c r="X8" s="79"/>
    </row>
    <row r="9" spans="2:25" ht="28.5" customHeight="1" x14ac:dyDescent="0.25">
      <c r="B9" s="294" t="s">
        <v>16</v>
      </c>
      <c r="C9" s="294" t="s">
        <v>17</v>
      </c>
      <c r="D9" s="294"/>
      <c r="E9" s="294"/>
      <c r="F9" s="229" t="s">
        <v>18</v>
      </c>
      <c r="G9" s="132" t="s">
        <v>19</v>
      </c>
      <c r="H9" s="229" t="s">
        <v>20</v>
      </c>
      <c r="J9" s="294" t="s">
        <v>16</v>
      </c>
      <c r="K9" s="294" t="s">
        <v>17</v>
      </c>
      <c r="L9" s="294"/>
      <c r="M9" s="294"/>
      <c r="N9" s="12" t="s">
        <v>18</v>
      </c>
      <c r="O9" s="132" t="s">
        <v>19</v>
      </c>
      <c r="P9" s="12" t="s">
        <v>20</v>
      </c>
      <c r="R9" s="294" t="s">
        <v>16</v>
      </c>
      <c r="S9" s="294" t="s">
        <v>17</v>
      </c>
      <c r="T9" s="294"/>
      <c r="U9" s="294"/>
      <c r="V9" s="12" t="s">
        <v>18</v>
      </c>
      <c r="W9" s="132" t="s">
        <v>19</v>
      </c>
      <c r="X9" s="12" t="s">
        <v>20</v>
      </c>
      <c r="Y9" s="43"/>
    </row>
    <row r="10" spans="2:25" ht="15.75" customHeight="1" x14ac:dyDescent="0.25">
      <c r="B10" s="294"/>
      <c r="C10" s="229" t="s">
        <v>21</v>
      </c>
      <c r="D10" s="229" t="s">
        <v>22</v>
      </c>
      <c r="E10" s="229" t="s">
        <v>23</v>
      </c>
      <c r="F10" s="229" t="s">
        <v>24</v>
      </c>
      <c r="G10" s="132" t="s">
        <v>21</v>
      </c>
      <c r="H10" s="229" t="s">
        <v>25</v>
      </c>
      <c r="J10" s="294"/>
      <c r="K10" s="12" t="s">
        <v>21</v>
      </c>
      <c r="L10" s="12" t="s">
        <v>22</v>
      </c>
      <c r="M10" s="12" t="s">
        <v>23</v>
      </c>
      <c r="N10" s="12" t="s">
        <v>24</v>
      </c>
      <c r="O10" s="132" t="s">
        <v>21</v>
      </c>
      <c r="P10" s="12" t="s">
        <v>25</v>
      </c>
      <c r="R10" s="294"/>
      <c r="S10" s="12" t="s">
        <v>21</v>
      </c>
      <c r="T10" s="12" t="s">
        <v>22</v>
      </c>
      <c r="U10" s="12" t="s">
        <v>23</v>
      </c>
      <c r="V10" s="12" t="s">
        <v>24</v>
      </c>
      <c r="W10" s="132" t="s">
        <v>21</v>
      </c>
      <c r="X10" s="12" t="s">
        <v>25</v>
      </c>
      <c r="Y10" s="43"/>
    </row>
    <row r="11" spans="2:25" x14ac:dyDescent="0.25">
      <c r="B11" s="252" t="s">
        <v>75</v>
      </c>
      <c r="C11" s="49">
        <f>CEILING(D11/0.6,VLOOKUP($C$5,$B$48:$I$50,2,0))</f>
        <v>14600</v>
      </c>
      <c r="D11" s="50">
        <f>IF($C$5=27,CEILING(C$7*(VLOOKUP(C$6,B$37:I$45,2,0)),184.8),CEILING($C$7*(VLOOKUP(C$6,B$37:I$45,2,0)),120))</f>
        <v>8760</v>
      </c>
      <c r="E11" s="16">
        <f>CEILING(C11/(VLOOKUP($C$5,$B$49:$I$50,2,0)),1)</f>
        <v>73</v>
      </c>
      <c r="F11" s="16">
        <f>CEILING(E11*(VLOOKUP($C$5,$B$54:$I$55,2,0)),1)</f>
        <v>628</v>
      </c>
      <c r="G11" s="133">
        <f>CEILING(E11/80,0.1)</f>
        <v>1</v>
      </c>
      <c r="H11" s="136">
        <f>E11*(VLOOKUP($C$5,$B$59:$I$60,2,0))</f>
        <v>2.19</v>
      </c>
      <c r="I11" s="1"/>
      <c r="J11" s="13" t="s">
        <v>75</v>
      </c>
      <c r="K11" s="80">
        <f>CEILING(L11/0.6,1)</f>
        <v>2850</v>
      </c>
      <c r="L11" s="81">
        <f>CEILING($K$7*(VLOOKUP($K$6,$J$37:$Q$45,2,0)),90)</f>
        <v>1710</v>
      </c>
      <c r="M11" s="16">
        <f>CEILING(K11/K49,1)</f>
        <v>19</v>
      </c>
      <c r="N11" s="16">
        <f>CEILING(M11*K54,1)</f>
        <v>135</v>
      </c>
      <c r="O11" s="135">
        <f>CEILING(M$11/80,0.1)</f>
        <v>0.30000000000000004</v>
      </c>
      <c r="P11" s="136">
        <f>M11*K59</f>
        <v>0.56999999999999995</v>
      </c>
      <c r="Q11" s="1"/>
      <c r="R11" s="13" t="s">
        <v>76</v>
      </c>
      <c r="S11" s="80">
        <f>CEILING(T11/0.6,1)</f>
        <v>600</v>
      </c>
      <c r="T11" s="149">
        <f>CEILING($S$7*(VLOOKUP($S$6,$R$37:$Y$45,3,0)),90)</f>
        <v>360</v>
      </c>
      <c r="U11" s="16">
        <f>CEILING(S11/S49,1)</f>
        <v>4</v>
      </c>
      <c r="V11" s="16">
        <f>CEILING(U11*S54,1)</f>
        <v>29</v>
      </c>
      <c r="W11" s="135">
        <f>CEILING(U11/80,0.1)</f>
        <v>0.1</v>
      </c>
      <c r="X11" s="136">
        <f>U11*T59</f>
        <v>0.12</v>
      </c>
      <c r="Y11" s="43"/>
    </row>
    <row r="12" spans="2:25" x14ac:dyDescent="0.25">
      <c r="B12" s="252" t="s">
        <v>76</v>
      </c>
      <c r="C12" s="49">
        <f>CEILING(D12/0.6,VLOOKUP($C$5,$B$48:$I$50,3,0))</f>
        <v>14600</v>
      </c>
      <c r="D12" s="50">
        <f>IF($C$5=27,CEILING(C$7*(VLOOKUP(C$6,B$37:I$45,3,0)),184.8),CEILING($C$7*(VLOOKUP(C$6,B$37:I$45,3,0)),120))</f>
        <v>8760</v>
      </c>
      <c r="E12" s="16">
        <f>CEILING(C12/(VLOOKUP($C$5,$B$49:$I$50,3,0)),1)</f>
        <v>73</v>
      </c>
      <c r="F12" s="16">
        <f>CEILING(E12*(VLOOKUP($C$5,$B$54:$I$55,3,0)),1)</f>
        <v>628</v>
      </c>
      <c r="G12" s="133">
        <f>CEILING(E12/80,0.1)</f>
        <v>1</v>
      </c>
      <c r="H12" s="136">
        <f>E12*(VLOOKUP($C$5,$B$59:$I$60,3,0))</f>
        <v>2.19</v>
      </c>
      <c r="I12" s="1"/>
      <c r="J12" s="13" t="s">
        <v>76</v>
      </c>
      <c r="K12" s="80">
        <f>CEILING(L12/0.6,1)</f>
        <v>2850</v>
      </c>
      <c r="L12" s="81">
        <f>CEILING($K$7*(VLOOKUP($K$6,$J$37:$Q$45,3,0)),90)</f>
        <v>1710</v>
      </c>
      <c r="M12" s="16">
        <f>CEILING(K12/L49,1)</f>
        <v>19</v>
      </c>
      <c r="N12" s="16">
        <f>CEILING(M12*L54,1)</f>
        <v>135</v>
      </c>
      <c r="O12" s="135">
        <f>CEILING(M$12/80,0.1)</f>
        <v>0.30000000000000004</v>
      </c>
      <c r="P12" s="136">
        <f>M12*L59</f>
        <v>0.56999999999999995</v>
      </c>
      <c r="Q12" s="1"/>
      <c r="R12" s="13" t="s">
        <v>75</v>
      </c>
      <c r="S12" s="80">
        <f>CEILING(T12/0.6,1)</f>
        <v>2850</v>
      </c>
      <c r="T12" s="149">
        <f>CEILING($S$7*(VLOOKUP($S$6,$R$37:$Y$45,2,0)),90)</f>
        <v>1710</v>
      </c>
      <c r="U12" s="16">
        <f>CEILING(S12/T49,1)</f>
        <v>19</v>
      </c>
      <c r="V12" s="16">
        <f>CEILING(U12*T54,1)</f>
        <v>135</v>
      </c>
      <c r="W12" s="135">
        <f>CEILING(U12/80,0.1)</f>
        <v>0.30000000000000004</v>
      </c>
      <c r="X12" s="136">
        <f>U12*S59</f>
        <v>0.56999999999999995</v>
      </c>
    </row>
    <row r="13" spans="2:25" x14ac:dyDescent="0.25">
      <c r="B13" s="252" t="s">
        <v>77</v>
      </c>
      <c r="C13" s="49">
        <f>CEILING(D13/0.6,VLOOKUP($C$5,$B$48:$I$50,4,0))</f>
        <v>2200</v>
      </c>
      <c r="D13" s="50">
        <f>IF($C$5=27,CEILING(C$7*(VLOOKUP(C$6,B$37:I$45,4,0)),184.8),CEILING($C$7*(VLOOKUP(C$6,B$37:I$45,4,0)),120))</f>
        <v>1320</v>
      </c>
      <c r="E13" s="16">
        <f>CEILING(C13/(VLOOKUP($C$5,$B$49:$I$50,4,0)),1)</f>
        <v>11</v>
      </c>
      <c r="F13" s="16">
        <f>CEILING(E13*(VLOOKUP($C$5,$B$54:$I$55,4,0)),1)</f>
        <v>95</v>
      </c>
      <c r="G13" s="133">
        <f>CEILING(E13/80,0.1)</f>
        <v>0.2</v>
      </c>
      <c r="H13" s="136">
        <f>E13*(VLOOKUP($C$5,$B$59:$I$60,4,0))</f>
        <v>0.32999999999999996</v>
      </c>
      <c r="I13" s="1"/>
      <c r="J13" s="13" t="s">
        <v>78</v>
      </c>
      <c r="K13" s="49">
        <f>CEILING(L13/0.6,1)</f>
        <v>2430</v>
      </c>
      <c r="L13" s="81">
        <f>CEILING($K$7*(VLOOKUP($K$6,$J$37:$Q$45,8,0)),162)</f>
        <v>1458</v>
      </c>
      <c r="M13" s="16">
        <f>CEILING(K13/Q49,1)</f>
        <v>9</v>
      </c>
      <c r="N13" s="16">
        <f>CEILING(M13*Q54,1)</f>
        <v>50</v>
      </c>
      <c r="O13" s="135">
        <f>CEILING(M13/160,0.1)</f>
        <v>0.1</v>
      </c>
      <c r="P13" s="136">
        <f>M13*Q59</f>
        <v>2.7E-2</v>
      </c>
      <c r="Q13" s="1"/>
      <c r="R13" s="13" t="s">
        <v>79</v>
      </c>
      <c r="S13" s="80">
        <f>CEILING(T13/0.6,1)</f>
        <v>1350</v>
      </c>
      <c r="T13" s="149">
        <f>CEILING($S$7*(VLOOKUP($S$6,$R$37:$Y$45,8,0)),162)</f>
        <v>810</v>
      </c>
      <c r="U13" s="150">
        <f>ROUNDUP(S13/Y49,0)</f>
        <v>5</v>
      </c>
      <c r="V13" s="16">
        <f>CEILING(U13*Y54,1)</f>
        <v>28</v>
      </c>
      <c r="W13" s="135">
        <f>CEILING(U13/160,0.1)</f>
        <v>0.1</v>
      </c>
      <c r="X13" s="136">
        <f>U13*Y59</f>
        <v>1.4999999999999999E-2</v>
      </c>
    </row>
    <row r="14" spans="2:25" x14ac:dyDescent="0.25">
      <c r="B14" s="252" t="s">
        <v>80</v>
      </c>
      <c r="C14" s="52">
        <f>CEILING(D14/1.2,1)</f>
        <v>0</v>
      </c>
      <c r="D14" s="53">
        <f>IF($C$5=27,CEILING(C$7*(VLOOKUP(C$6,B$37:I$45,8,0)),187.2),CEILING($C$7*(VLOOKUP(C$6,B$37:I$45,8,0)),124.8))</f>
        <v>0</v>
      </c>
      <c r="E14" s="52">
        <f>CEILING(C14/(VLOOKUP($C$5,$B$49:$I$50,8,0)),1)</f>
        <v>0</v>
      </c>
      <c r="F14" s="52">
        <f>CEILING(E14*(VLOOKUP($C$5,$B$54:$I$55,4,0)),1)</f>
        <v>0</v>
      </c>
      <c r="G14" s="228">
        <f>CEILING(E14/80,0.1)</f>
        <v>0</v>
      </c>
      <c r="H14" s="136">
        <f>E14*(VLOOKUP($C$5,$B$59:$I$60,4,0))</f>
        <v>0</v>
      </c>
      <c r="I14" s="1"/>
      <c r="J14" s="13" t="s">
        <v>26</v>
      </c>
      <c r="K14" s="82">
        <f>CEILING(L14/3.6,1)</f>
        <v>60</v>
      </c>
      <c r="L14" s="83">
        <f>CEILING($K$7*(VLOOKUP($K$6,$J$37:$Q$45,6,0)),108)</f>
        <v>216</v>
      </c>
      <c r="M14" s="16">
        <f>CEILING(K14/O49,1)</f>
        <v>2</v>
      </c>
      <c r="N14" s="16">
        <f>CEILING(M14*O54,1)</f>
        <v>45</v>
      </c>
      <c r="O14" s="135">
        <f>CEILING(M14/60,0.1)</f>
        <v>0.1</v>
      </c>
      <c r="P14" s="136">
        <f>M14*O59</f>
        <v>7.1999999999999995E-2</v>
      </c>
      <c r="Q14" s="1"/>
      <c r="R14" s="13" t="s">
        <v>81</v>
      </c>
      <c r="S14" s="80">
        <f>CEILING(T14/0.6,1)</f>
        <v>1350</v>
      </c>
      <c r="T14" s="149">
        <f>CEILING($S$7*(VLOOKUP($S$6,$R$37:$Y$45,8,0)),162)</f>
        <v>810</v>
      </c>
      <c r="U14" s="150">
        <f>ROUNDUP(S14/Y49,0)</f>
        <v>5</v>
      </c>
      <c r="V14" s="16">
        <f>CEILING(U14*Y54,1)</f>
        <v>28</v>
      </c>
      <c r="W14" s="135">
        <f>CEILING(U14/160,0.1)</f>
        <v>0.1</v>
      </c>
      <c r="X14" s="136">
        <f>U14*Y59</f>
        <v>1.4999999999999999E-2</v>
      </c>
    </row>
    <row r="15" spans="2:25" x14ac:dyDescent="0.25">
      <c r="B15" s="252" t="s">
        <v>82</v>
      </c>
      <c r="C15" s="49">
        <f>CEILING(D15/2.4,10)</f>
        <v>530</v>
      </c>
      <c r="D15" s="50">
        <f>IF($C$5=27,CEILING(C$7*(VLOOKUP(C$6,B$37:I$45,5,0)),24),CEILING($C$7*(VLOOKUP(C$6,B$37:I$45,5,0)),24))</f>
        <v>1272</v>
      </c>
      <c r="E15" s="16">
        <v>1</v>
      </c>
      <c r="F15" s="52">
        <f>CEILING(E15*(VLOOKUP($C$5,$B$54:$I$55,5,0)),1)</f>
        <v>3</v>
      </c>
      <c r="G15" s="133"/>
      <c r="H15" s="136">
        <f>E15*(VLOOKUP($C$5,$B$59:$I$60,5,0))</f>
        <v>0.06</v>
      </c>
      <c r="I15" s="1"/>
      <c r="J15" s="13" t="s">
        <v>27</v>
      </c>
      <c r="K15" s="82">
        <f>CEILING(L15/1.2,1)</f>
        <v>368</v>
      </c>
      <c r="L15" s="137">
        <f>CEILING(VLOOKUP(K6,$J$36:$Q$45,5,0)*K7,110.4)</f>
        <v>441.6</v>
      </c>
      <c r="M15" s="16">
        <f>CEILING(K15/N49,1)</f>
        <v>4</v>
      </c>
      <c r="N15" s="16">
        <f>CEILING(M15*N54,1)</f>
        <v>41</v>
      </c>
      <c r="O15" s="135">
        <f>CEILING(M15/80,0.1)</f>
        <v>0.1</v>
      </c>
      <c r="P15" s="136">
        <f>M15*N59</f>
        <v>8.4000000000000005E-2</v>
      </c>
      <c r="Q15" s="1"/>
      <c r="R15" s="13" t="s">
        <v>26</v>
      </c>
      <c r="S15" s="151">
        <f>CEILING(T15/3.6,1)</f>
        <v>60</v>
      </c>
      <c r="T15" s="152">
        <f>CEILING($S$7*(VLOOKUP($S$6,$R$37:$Y$45,6,0)),108)</f>
        <v>216</v>
      </c>
      <c r="U15" s="150">
        <f>ROUNDUP(S15/W49,0)</f>
        <v>2</v>
      </c>
      <c r="V15" s="16">
        <f>CEILING(U15*W54,1)</f>
        <v>45</v>
      </c>
      <c r="W15" s="135">
        <f>CEILING(U15/60,0.1)</f>
        <v>0.1</v>
      </c>
      <c r="X15" s="136">
        <f>U15*W59</f>
        <v>7.1999999999999995E-2</v>
      </c>
    </row>
    <row r="16" spans="2:25" x14ac:dyDescent="0.25">
      <c r="B16" s="252" t="s">
        <v>83</v>
      </c>
      <c r="C16" s="49">
        <f>C15</f>
        <v>530</v>
      </c>
      <c r="D16" s="55">
        <f>C7*(VLOOKUP(C6,$B$37:$I$45,6,0))</f>
        <v>420.00000000000006</v>
      </c>
      <c r="E16" s="16"/>
      <c r="F16" s="16"/>
      <c r="G16" s="133"/>
      <c r="H16" s="136"/>
      <c r="I16" s="1"/>
      <c r="J16" s="13" t="s">
        <v>28</v>
      </c>
      <c r="K16" s="82">
        <f>CEILING(L16/0.6,1)</f>
        <v>368</v>
      </c>
      <c r="L16" s="84">
        <f>CEILING($K$7*(VLOOKUP($K$6,$J$37:$Q$45,4,0)),55.2)</f>
        <v>220.8</v>
      </c>
      <c r="M16" s="16">
        <f>CEILING(K16/M49,1)</f>
        <v>4</v>
      </c>
      <c r="N16" s="16">
        <f>CEILING(M16*M54,1)</f>
        <v>41</v>
      </c>
      <c r="O16" s="135">
        <f>CEILING(M16/80,0.1)</f>
        <v>0.1</v>
      </c>
      <c r="P16" s="136">
        <f>M16*M59</f>
        <v>0.04</v>
      </c>
      <c r="Q16" s="1"/>
      <c r="R16" s="13" t="s">
        <v>27</v>
      </c>
      <c r="S16" s="151">
        <f>CEILING(T16/1.2,1)</f>
        <v>368</v>
      </c>
      <c r="T16" s="153">
        <f>CEILING($S$7*(VLOOKUP($S$6,$R$37:$Y$45,5,0)),110.4)</f>
        <v>441.6</v>
      </c>
      <c r="U16" s="150">
        <f>ROUNDUP(S16/V49,0)</f>
        <v>4</v>
      </c>
      <c r="V16" s="16">
        <f>CEILING(U16*V54,1)</f>
        <v>41</v>
      </c>
      <c r="W16" s="135">
        <f>CEILING(U16/80,0.1)</f>
        <v>0.1</v>
      </c>
      <c r="X16" s="136">
        <f>U16*V59</f>
        <v>8.4000000000000005E-2</v>
      </c>
    </row>
    <row r="17" spans="2:24" x14ac:dyDescent="0.25">
      <c r="B17" s="252" t="s">
        <v>84</v>
      </c>
      <c r="C17" s="16">
        <f>CEILING(D17/3,1)</f>
        <v>180</v>
      </c>
      <c r="D17" s="56">
        <f>CEILING(C7*0.7,135)</f>
        <v>540</v>
      </c>
      <c r="E17" s="57">
        <f>CEILING(D17/135,1)</f>
        <v>4</v>
      </c>
      <c r="F17" s="58">
        <f>E17*10.8</f>
        <v>43.2</v>
      </c>
      <c r="G17" s="133">
        <f>CEILING(E17/60,0.1)</f>
        <v>0.1</v>
      </c>
      <c r="H17" s="140">
        <f>E17*0.012</f>
        <v>4.8000000000000001E-2</v>
      </c>
      <c r="I17" s="1"/>
      <c r="J17" s="138" t="s">
        <v>84</v>
      </c>
      <c r="K17" s="16">
        <f>CEILING(L17/3,1)</f>
        <v>90</v>
      </c>
      <c r="L17" s="85">
        <f>CEILING(K7*0.7,135)</f>
        <v>270</v>
      </c>
      <c r="M17" s="57">
        <f>CEILING(L17/135,1)</f>
        <v>2</v>
      </c>
      <c r="N17" s="58">
        <f>M17*10.8</f>
        <v>21.6</v>
      </c>
      <c r="O17" s="139">
        <f>CEILING(M17/60,0.1)</f>
        <v>0.1</v>
      </c>
      <c r="P17" s="140">
        <f>M17*0.012</f>
        <v>2.4E-2</v>
      </c>
      <c r="Q17" s="1"/>
      <c r="R17" s="13" t="s">
        <v>28</v>
      </c>
      <c r="S17" s="151">
        <f>CEILING(T17/0.6,1)</f>
        <v>368</v>
      </c>
      <c r="T17" s="153">
        <f>CEILING($S$7*(VLOOKUP($S$6,$R$37:$Y$45,4,0)),55.2)</f>
        <v>220.8</v>
      </c>
      <c r="U17" s="150">
        <f>ROUNDUP(S17/U49,0)</f>
        <v>4</v>
      </c>
      <c r="V17" s="16">
        <f>CEILING(U17*U54,1)</f>
        <v>41</v>
      </c>
      <c r="W17" s="135">
        <f>CEILING(U17/60,0.1)</f>
        <v>0.1</v>
      </c>
      <c r="X17" s="136">
        <f>U17*U59</f>
        <v>0.04</v>
      </c>
    </row>
    <row r="18" spans="2:24" ht="15.75" thickBot="1" x14ac:dyDescent="0.3">
      <c r="B18" s="255" t="s">
        <v>30</v>
      </c>
      <c r="C18" s="60">
        <f>CEILING(D18,VLOOKUP($C$5,$B$48:$I$50,7,0))</f>
        <v>600</v>
      </c>
      <c r="D18" s="61">
        <f>C7*(VLOOKUP(C6,$B$37:$I$45,7,0))</f>
        <v>525</v>
      </c>
      <c r="E18" s="19">
        <f>CEILING(C18/(VLOOKUP($C$5,$B$49:$I$50,7,0)),1)</f>
        <v>6</v>
      </c>
      <c r="F18" s="19">
        <f>CEILING(E18*(VLOOKUP($C$5,$B$54:$I$55,7,0)),1)</f>
        <v>16</v>
      </c>
      <c r="G18" s="134">
        <f>CEILING(E18/100,0.1)</f>
        <v>0.1</v>
      </c>
      <c r="H18" s="143">
        <f>E18*(VLOOKUP($C$5,$B$59:$I$60,7,0))</f>
        <v>0.06</v>
      </c>
      <c r="I18" s="1"/>
      <c r="J18" s="141" t="s">
        <v>30</v>
      </c>
      <c r="K18" s="86">
        <f>CEILING(L18,VLOOKUP($C$5,$B$48:$I$50,7,0))</f>
        <v>200</v>
      </c>
      <c r="L18" s="87">
        <f>K7*(VLOOKUP(K6,$J$37:$Q$45,7,0))</f>
        <v>140</v>
      </c>
      <c r="M18" s="19">
        <f>ROUNDUP(K18/100,0)</f>
        <v>2</v>
      </c>
      <c r="N18" s="19">
        <f>CEILING(M18*P54,1)</f>
        <v>6</v>
      </c>
      <c r="O18" s="142">
        <f>CEILING(M18/100,0.1)</f>
        <v>0.1</v>
      </c>
      <c r="P18" s="143">
        <f>M18*P59</f>
        <v>0.02</v>
      </c>
      <c r="Q18" s="1"/>
      <c r="R18" s="138" t="s">
        <v>84</v>
      </c>
      <c r="S18" s="16">
        <f>CEILING(T18/3,1)</f>
        <v>90</v>
      </c>
      <c r="T18" s="154">
        <f>CEILING(S7*0.7,135)</f>
        <v>270</v>
      </c>
      <c r="U18" s="57">
        <f>CEILING(T18/135,1)</f>
        <v>2</v>
      </c>
      <c r="V18" s="58">
        <f>U18*10.8</f>
        <v>21.6</v>
      </c>
      <c r="W18" s="135">
        <f>CEILING(U18/42,0.1)</f>
        <v>0.1</v>
      </c>
      <c r="X18" s="140">
        <f>U18*0.012</f>
        <v>2.4E-2</v>
      </c>
    </row>
    <row r="19" spans="2:24" ht="17.25" customHeight="1" thickBot="1" x14ac:dyDescent="0.3">
      <c r="B19" s="253" t="s">
        <v>35</v>
      </c>
      <c r="C19" s="145">
        <f t="shared" ref="C19:H19" si="0">SUM(C11:C18)</f>
        <v>33240</v>
      </c>
      <c r="D19" s="145">
        <f t="shared" si="0"/>
        <v>21597</v>
      </c>
      <c r="E19" s="145">
        <f t="shared" si="0"/>
        <v>168</v>
      </c>
      <c r="F19" s="145">
        <f t="shared" si="0"/>
        <v>1413.2</v>
      </c>
      <c r="G19" s="254">
        <f t="shared" si="0"/>
        <v>2.4000000000000004</v>
      </c>
      <c r="H19" s="147">
        <f t="shared" si="0"/>
        <v>4.8779999999999992</v>
      </c>
      <c r="I19" s="1"/>
      <c r="J19" s="144" t="s">
        <v>35</v>
      </c>
      <c r="K19" s="145">
        <f t="shared" ref="K19:P19" si="1">SUM(K11:K18)</f>
        <v>9216</v>
      </c>
      <c r="L19" s="145">
        <f t="shared" si="1"/>
        <v>6166.4000000000005</v>
      </c>
      <c r="M19" s="145">
        <f t="shared" si="1"/>
        <v>61</v>
      </c>
      <c r="N19" s="145">
        <f t="shared" si="1"/>
        <v>474.6</v>
      </c>
      <c r="O19" s="146">
        <f t="shared" si="1"/>
        <v>1.2000000000000002</v>
      </c>
      <c r="P19" s="147">
        <f t="shared" si="1"/>
        <v>1.407</v>
      </c>
      <c r="Q19" s="1"/>
      <c r="R19" s="141" t="s">
        <v>30</v>
      </c>
      <c r="S19" s="86">
        <f>CEILING(T19,VLOOKUP($R$49,$R$49:$Y$49,7,0))</f>
        <v>200</v>
      </c>
      <c r="T19" s="87">
        <f>S7*(VLOOKUP(S6,$R$37:$Y$45,7,0))</f>
        <v>140</v>
      </c>
      <c r="U19" s="155">
        <f>ROUNDUP(S19/100,0)</f>
        <v>2</v>
      </c>
      <c r="V19" s="19">
        <f>CEILING(U19*X54,1)</f>
        <v>6</v>
      </c>
      <c r="W19" s="142">
        <f>CEILING(U17/100,0.1)</f>
        <v>0.1</v>
      </c>
      <c r="X19" s="143">
        <f>U19*X59</f>
        <v>0.02</v>
      </c>
    </row>
    <row r="20" spans="2:24" x14ac:dyDescent="0.25">
      <c r="B20" s="47"/>
      <c r="C20" s="47"/>
      <c r="D20" s="47"/>
      <c r="E20" s="47"/>
      <c r="F20" s="47"/>
      <c r="G20" s="47"/>
      <c r="H20" s="47"/>
      <c r="J20" s="148"/>
      <c r="K20" s="47"/>
      <c r="L20" s="47"/>
      <c r="M20" s="47"/>
      <c r="N20" s="47"/>
      <c r="O20" s="47"/>
      <c r="P20" s="47"/>
      <c r="R20" s="24" t="s">
        <v>35</v>
      </c>
      <c r="S20" s="145">
        <f t="shared" ref="S20:X20" si="2">SUM(S11:S19)</f>
        <v>7236</v>
      </c>
      <c r="T20" s="145">
        <f t="shared" si="2"/>
        <v>4978.4000000000005</v>
      </c>
      <c r="U20" s="156">
        <f t="shared" si="2"/>
        <v>47</v>
      </c>
      <c r="V20" s="145">
        <f t="shared" si="2"/>
        <v>374.6</v>
      </c>
      <c r="W20" s="146">
        <f t="shared" si="2"/>
        <v>1.0999999999999999</v>
      </c>
      <c r="X20" s="147">
        <f t="shared" si="2"/>
        <v>0.96</v>
      </c>
    </row>
    <row r="21" spans="2:24" x14ac:dyDescent="0.25">
      <c r="B21" s="63" t="s">
        <v>85</v>
      </c>
      <c r="C21" s="64"/>
      <c r="D21" s="64"/>
      <c r="E21" s="64"/>
      <c r="F21" s="64"/>
      <c r="G21" s="64"/>
      <c r="H21" s="65"/>
      <c r="I21" s="43"/>
      <c r="J21" s="63" t="s">
        <v>86</v>
      </c>
      <c r="K21" s="89"/>
      <c r="L21" s="89"/>
      <c r="M21" s="89"/>
      <c r="N21" s="89"/>
      <c r="O21" s="89"/>
      <c r="P21" s="89"/>
    </row>
    <row r="22" spans="2:24" ht="14.25" customHeight="1" x14ac:dyDescent="0.25">
      <c r="K22" s="89"/>
      <c r="L22" s="89"/>
      <c r="M22" s="89"/>
      <c r="N22" s="89"/>
      <c r="O22" s="89"/>
      <c r="P22" s="89"/>
      <c r="R22" s="63" t="s">
        <v>86</v>
      </c>
      <c r="S22" s="43"/>
      <c r="T22" s="43"/>
      <c r="U22" s="43"/>
      <c r="V22" s="43"/>
      <c r="W22" s="43"/>
      <c r="X22" s="43"/>
    </row>
    <row r="23" spans="2:24" x14ac:dyDescent="0.25">
      <c r="K23" s="64"/>
      <c r="L23" s="64"/>
      <c r="M23" s="64"/>
      <c r="N23" s="64"/>
      <c r="O23" s="64"/>
      <c r="P23" s="64"/>
    </row>
    <row r="24" spans="2:24" x14ac:dyDescent="0.25">
      <c r="K24" s="64"/>
      <c r="L24" s="64"/>
      <c r="M24" s="64"/>
      <c r="N24" s="64"/>
      <c r="O24" s="64"/>
      <c r="P24" s="64"/>
    </row>
    <row r="25" spans="2:24" x14ac:dyDescent="0.25">
      <c r="K25" s="64"/>
      <c r="L25" s="64"/>
      <c r="M25" s="64"/>
      <c r="N25" s="64"/>
      <c r="O25" s="64"/>
      <c r="P25" s="64"/>
    </row>
    <row r="26" spans="2:24" x14ac:dyDescent="0.25">
      <c r="K26" s="64"/>
      <c r="L26" s="64"/>
      <c r="M26" s="64"/>
      <c r="N26" s="64"/>
      <c r="O26" s="64"/>
      <c r="P26" s="64"/>
    </row>
    <row r="27" spans="2:24" x14ac:dyDescent="0.25">
      <c r="K27" s="64"/>
      <c r="L27" s="64"/>
      <c r="M27" s="64"/>
      <c r="N27" s="64"/>
      <c r="O27" s="64"/>
      <c r="P27" s="64"/>
    </row>
    <row r="28" spans="2:24" x14ac:dyDescent="0.25">
      <c r="K28" s="64"/>
      <c r="L28" s="64"/>
      <c r="M28" s="64"/>
      <c r="N28" s="64"/>
      <c r="O28" s="64"/>
      <c r="P28" s="64"/>
    </row>
    <row r="29" spans="2:24" x14ac:dyDescent="0.25">
      <c r="K29" s="64"/>
      <c r="L29" s="64"/>
      <c r="M29" s="64"/>
      <c r="N29" s="64"/>
      <c r="O29" s="64"/>
      <c r="P29" s="64"/>
    </row>
    <row r="30" spans="2:24" x14ac:dyDescent="0.25">
      <c r="K30" s="64"/>
      <c r="L30" s="64"/>
      <c r="M30" s="64"/>
      <c r="N30" s="64"/>
      <c r="O30" s="64"/>
      <c r="P30" s="64"/>
    </row>
    <row r="31" spans="2:24" x14ac:dyDescent="0.25">
      <c r="K31" s="64"/>
      <c r="L31" s="64"/>
      <c r="M31" s="64"/>
      <c r="N31" s="64"/>
      <c r="O31" s="64"/>
      <c r="P31" s="64"/>
    </row>
    <row r="32" spans="2:24" x14ac:dyDescent="0.25">
      <c r="K32" s="64"/>
      <c r="L32" s="64"/>
      <c r="M32" s="64"/>
      <c r="N32" s="64"/>
      <c r="O32" s="64"/>
      <c r="P32" s="64"/>
    </row>
    <row r="33" spans="2:25" x14ac:dyDescent="0.25">
      <c r="K33" s="64"/>
      <c r="L33" s="64"/>
      <c r="M33" s="64"/>
      <c r="N33" s="64"/>
      <c r="O33" s="64"/>
      <c r="P33" s="64"/>
    </row>
    <row r="34" spans="2:25" x14ac:dyDescent="0.25">
      <c r="K34" s="64"/>
      <c r="L34" s="64"/>
      <c r="M34" s="64"/>
      <c r="N34" s="64"/>
      <c r="O34" s="64"/>
      <c r="P34" s="64"/>
    </row>
    <row r="35" spans="2:25" hidden="1" x14ac:dyDescent="0.25">
      <c r="B35" s="66" t="s">
        <v>37</v>
      </c>
      <c r="C35" s="66"/>
      <c r="D35" s="66"/>
      <c r="J35" s="66" t="s">
        <v>37</v>
      </c>
      <c r="K35" s="66"/>
      <c r="L35" s="66"/>
      <c r="R35" s="66" t="s">
        <v>37</v>
      </c>
      <c r="S35" s="66"/>
      <c r="T35" s="66"/>
    </row>
    <row r="36" spans="2:25" hidden="1" x14ac:dyDescent="0.25">
      <c r="B36" s="67" t="s">
        <v>87</v>
      </c>
      <c r="C36" s="68" t="s">
        <v>75</v>
      </c>
      <c r="D36" s="68" t="s">
        <v>76</v>
      </c>
      <c r="E36" s="68">
        <v>600</v>
      </c>
      <c r="F36" s="69">
        <v>2400</v>
      </c>
      <c r="G36" s="68" t="s">
        <v>88</v>
      </c>
      <c r="H36" s="68" t="s">
        <v>42</v>
      </c>
      <c r="I36" s="68">
        <v>1200</v>
      </c>
      <c r="J36" s="67" t="s">
        <v>87</v>
      </c>
      <c r="K36" s="68" t="s">
        <v>75</v>
      </c>
      <c r="L36" s="68" t="s">
        <v>76</v>
      </c>
      <c r="M36" s="68" t="s">
        <v>39</v>
      </c>
      <c r="N36" s="69" t="s">
        <v>40</v>
      </c>
      <c r="O36" s="68" t="s">
        <v>41</v>
      </c>
      <c r="P36" s="68" t="s">
        <v>42</v>
      </c>
      <c r="Q36" s="68" t="s">
        <v>78</v>
      </c>
      <c r="R36" s="67" t="s">
        <v>87</v>
      </c>
      <c r="S36" s="68" t="s">
        <v>76</v>
      </c>
      <c r="T36" s="68" t="s">
        <v>75</v>
      </c>
      <c r="U36" s="68" t="s">
        <v>39</v>
      </c>
      <c r="V36" s="69" t="s">
        <v>40</v>
      </c>
      <c r="W36" s="68" t="s">
        <v>41</v>
      </c>
      <c r="X36" s="68" t="s">
        <v>42</v>
      </c>
      <c r="Y36" s="68" t="s">
        <v>78</v>
      </c>
    </row>
    <row r="37" spans="2:25" hidden="1" x14ac:dyDescent="0.25">
      <c r="B37" s="67" t="s">
        <v>89</v>
      </c>
      <c r="C37" s="67">
        <v>23.35</v>
      </c>
      <c r="D37" s="67">
        <v>23.35</v>
      </c>
      <c r="E37" s="70">
        <v>1.67</v>
      </c>
      <c r="F37" s="70">
        <v>1.68</v>
      </c>
      <c r="G37" s="70">
        <v>0.56000000000000005</v>
      </c>
      <c r="H37" s="70">
        <v>0.7</v>
      </c>
      <c r="I37" s="67"/>
      <c r="J37" s="67" t="s">
        <v>89</v>
      </c>
      <c r="K37" s="67">
        <v>23.35</v>
      </c>
      <c r="L37" s="67">
        <v>23.35</v>
      </c>
      <c r="M37" s="70">
        <v>0.84</v>
      </c>
      <c r="N37" s="70">
        <v>1.68</v>
      </c>
      <c r="O37" s="70">
        <v>0.84</v>
      </c>
      <c r="P37" s="70">
        <v>0.7</v>
      </c>
      <c r="Q37" s="70">
        <v>6.67</v>
      </c>
      <c r="R37" s="67" t="s">
        <v>90</v>
      </c>
      <c r="S37" s="67">
        <v>23.35</v>
      </c>
      <c r="T37" s="67">
        <v>1.67</v>
      </c>
      <c r="U37" s="70">
        <v>0.84</v>
      </c>
      <c r="V37" s="70">
        <v>1.68</v>
      </c>
      <c r="W37" s="70">
        <v>0.84</v>
      </c>
      <c r="X37" s="70">
        <v>0.7</v>
      </c>
      <c r="Y37" s="70">
        <v>3.335</v>
      </c>
    </row>
    <row r="38" spans="2:25" hidden="1" x14ac:dyDescent="0.25">
      <c r="B38" s="67" t="s">
        <v>91</v>
      </c>
      <c r="C38" s="70">
        <v>18.350000000000001</v>
      </c>
      <c r="D38" s="70">
        <v>18.350000000000001</v>
      </c>
      <c r="E38" s="70">
        <v>1.67</v>
      </c>
      <c r="F38" s="70">
        <v>1.68</v>
      </c>
      <c r="G38" s="70">
        <v>0.56000000000000005</v>
      </c>
      <c r="H38" s="70">
        <v>0.7</v>
      </c>
      <c r="I38" s="67"/>
      <c r="J38" s="67" t="s">
        <v>91</v>
      </c>
      <c r="K38" s="70">
        <v>18.350000000000001</v>
      </c>
      <c r="L38" s="70">
        <v>18.350000000000001</v>
      </c>
      <c r="M38" s="70">
        <v>0.84</v>
      </c>
      <c r="N38" s="70">
        <v>1.68</v>
      </c>
      <c r="O38" s="70">
        <v>0.84</v>
      </c>
      <c r="P38" s="70">
        <v>0.7</v>
      </c>
      <c r="Q38" s="70">
        <v>6.67</v>
      </c>
      <c r="R38" s="67" t="s">
        <v>92</v>
      </c>
      <c r="S38" s="70">
        <v>18.350000000000001</v>
      </c>
      <c r="T38" s="67">
        <v>1.67</v>
      </c>
      <c r="U38" s="70">
        <v>0.84</v>
      </c>
      <c r="V38" s="70">
        <v>1.68</v>
      </c>
      <c r="W38" s="70">
        <v>0.84</v>
      </c>
      <c r="X38" s="70">
        <v>0.7</v>
      </c>
      <c r="Y38" s="70">
        <v>3.335</v>
      </c>
    </row>
    <row r="39" spans="2:25" hidden="1" x14ac:dyDescent="0.25">
      <c r="B39" s="67" t="s">
        <v>93</v>
      </c>
      <c r="C39" s="70">
        <v>15</v>
      </c>
      <c r="D39" s="70">
        <v>15</v>
      </c>
      <c r="E39" s="70">
        <v>1.67</v>
      </c>
      <c r="F39" s="70">
        <v>1.68</v>
      </c>
      <c r="G39" s="70">
        <v>0.56000000000000005</v>
      </c>
      <c r="H39" s="70">
        <v>0.7</v>
      </c>
      <c r="I39" s="67"/>
      <c r="J39" s="67" t="s">
        <v>93</v>
      </c>
      <c r="K39" s="70">
        <v>15</v>
      </c>
      <c r="L39" s="70">
        <v>15</v>
      </c>
      <c r="M39" s="70">
        <v>0.84</v>
      </c>
      <c r="N39" s="70">
        <v>1.68</v>
      </c>
      <c r="O39" s="70">
        <v>0.84</v>
      </c>
      <c r="P39" s="70">
        <v>0.7</v>
      </c>
      <c r="Q39" s="70">
        <v>6.67</v>
      </c>
      <c r="R39" s="67" t="s">
        <v>94</v>
      </c>
      <c r="S39" s="70">
        <v>15</v>
      </c>
      <c r="T39" s="67">
        <v>1.67</v>
      </c>
      <c r="U39" s="70">
        <v>0.84</v>
      </c>
      <c r="V39" s="70">
        <v>1.68</v>
      </c>
      <c r="W39" s="70">
        <v>0.84</v>
      </c>
      <c r="X39" s="70">
        <v>0.7</v>
      </c>
      <c r="Y39" s="70">
        <v>3.335</v>
      </c>
    </row>
    <row r="40" spans="2:25" hidden="1" x14ac:dyDescent="0.25">
      <c r="B40" s="67" t="s">
        <v>95</v>
      </c>
      <c r="C40" s="67">
        <v>11.68</v>
      </c>
      <c r="D40" s="67">
        <v>11.68</v>
      </c>
      <c r="E40" s="70">
        <v>1.67</v>
      </c>
      <c r="F40" s="70">
        <v>1.68</v>
      </c>
      <c r="G40" s="70">
        <v>0.56000000000000005</v>
      </c>
      <c r="H40" s="70">
        <v>0.7</v>
      </c>
      <c r="I40" s="67"/>
      <c r="J40" s="67" t="s">
        <v>95</v>
      </c>
      <c r="K40" s="67">
        <v>11.68</v>
      </c>
      <c r="L40" s="67">
        <v>11.68</v>
      </c>
      <c r="M40" s="70">
        <v>0.84</v>
      </c>
      <c r="N40" s="70">
        <v>1.68</v>
      </c>
      <c r="O40" s="70">
        <v>0.84</v>
      </c>
      <c r="P40" s="70">
        <v>0.7</v>
      </c>
      <c r="Q40" s="70">
        <v>6.67</v>
      </c>
      <c r="R40" s="67" t="s">
        <v>96</v>
      </c>
      <c r="S40" s="67">
        <v>11.68</v>
      </c>
      <c r="T40" s="67">
        <v>1.67</v>
      </c>
      <c r="U40" s="70">
        <v>0.84</v>
      </c>
      <c r="V40" s="70">
        <v>1.68</v>
      </c>
      <c r="W40" s="70">
        <v>0.84</v>
      </c>
      <c r="X40" s="70">
        <v>0.7</v>
      </c>
      <c r="Y40" s="70">
        <v>3.335</v>
      </c>
    </row>
    <row r="41" spans="2:25" hidden="1" x14ac:dyDescent="0.25">
      <c r="B41" s="67" t="s">
        <v>97</v>
      </c>
      <c r="C41" s="67">
        <v>10</v>
      </c>
      <c r="D41" s="67">
        <v>10</v>
      </c>
      <c r="E41" s="70">
        <v>0.84</v>
      </c>
      <c r="F41" s="70">
        <v>0.84</v>
      </c>
      <c r="G41" s="70">
        <v>0.28000000000000003</v>
      </c>
      <c r="H41" s="70">
        <v>0.7</v>
      </c>
      <c r="I41" s="67">
        <v>1.67</v>
      </c>
      <c r="J41" s="67" t="s">
        <v>97</v>
      </c>
      <c r="K41" s="67">
        <v>10</v>
      </c>
      <c r="L41" s="67">
        <v>10</v>
      </c>
      <c r="M41" s="70">
        <v>0.84</v>
      </c>
      <c r="N41" s="70">
        <v>1.68</v>
      </c>
      <c r="O41" s="70">
        <v>0.84</v>
      </c>
      <c r="P41" s="70">
        <v>0.7</v>
      </c>
      <c r="Q41" s="70">
        <v>6.67</v>
      </c>
      <c r="R41" s="67" t="s">
        <v>98</v>
      </c>
      <c r="S41" s="67">
        <v>10</v>
      </c>
      <c r="T41" s="67">
        <v>1.67</v>
      </c>
      <c r="U41" s="70">
        <v>0.84</v>
      </c>
      <c r="V41" s="70">
        <v>1.68</v>
      </c>
      <c r="W41" s="70">
        <v>0.84</v>
      </c>
      <c r="X41" s="70">
        <v>0.7</v>
      </c>
      <c r="Y41" s="70">
        <v>3.335</v>
      </c>
    </row>
    <row r="42" spans="2:25" hidden="1" x14ac:dyDescent="0.25">
      <c r="B42" s="67" t="s">
        <v>73</v>
      </c>
      <c r="C42" s="67">
        <v>8.34</v>
      </c>
      <c r="D42" s="67">
        <v>8.34</v>
      </c>
      <c r="E42" s="70">
        <v>0.84</v>
      </c>
      <c r="F42" s="70">
        <v>0.84</v>
      </c>
      <c r="G42" s="70">
        <v>0.28000000000000003</v>
      </c>
      <c r="H42" s="70">
        <v>0.7</v>
      </c>
      <c r="I42" s="67">
        <v>1.67</v>
      </c>
      <c r="J42" s="67" t="s">
        <v>73</v>
      </c>
      <c r="K42" s="67">
        <v>8.34</v>
      </c>
      <c r="L42" s="67">
        <v>8.34</v>
      </c>
      <c r="M42" s="70">
        <v>0.84</v>
      </c>
      <c r="N42" s="70">
        <v>1.68</v>
      </c>
      <c r="O42" s="70">
        <v>0.84</v>
      </c>
      <c r="P42" s="70">
        <v>0.7</v>
      </c>
      <c r="Q42" s="70">
        <v>6.67</v>
      </c>
      <c r="R42" s="67" t="s">
        <v>74</v>
      </c>
      <c r="S42" s="67">
        <v>8.34</v>
      </c>
      <c r="T42" s="67">
        <v>1.67</v>
      </c>
      <c r="U42" s="70">
        <v>0.84</v>
      </c>
      <c r="V42" s="70">
        <v>1.68</v>
      </c>
      <c r="W42" s="70">
        <v>0.84</v>
      </c>
      <c r="X42" s="70">
        <v>0.7</v>
      </c>
      <c r="Y42" s="70">
        <v>3.335</v>
      </c>
    </row>
    <row r="43" spans="2:25" hidden="1" x14ac:dyDescent="0.25">
      <c r="B43" s="67" t="s">
        <v>99</v>
      </c>
      <c r="C43" s="67">
        <v>6.67</v>
      </c>
      <c r="D43" s="67">
        <v>6.67</v>
      </c>
      <c r="E43" s="70">
        <v>0.84</v>
      </c>
      <c r="F43" s="70">
        <v>0.84</v>
      </c>
      <c r="G43" s="70">
        <v>0.28000000000000003</v>
      </c>
      <c r="H43" s="70">
        <v>0.7</v>
      </c>
      <c r="I43" s="67">
        <v>1.67</v>
      </c>
      <c r="J43" s="67" t="s">
        <v>99</v>
      </c>
      <c r="K43" s="67">
        <v>6.67</v>
      </c>
      <c r="L43" s="67">
        <v>6.67</v>
      </c>
      <c r="M43" s="70">
        <v>0.84</v>
      </c>
      <c r="N43" s="70">
        <v>1.69</v>
      </c>
      <c r="O43" s="70">
        <v>0.84</v>
      </c>
      <c r="P43" s="70">
        <v>0.7</v>
      </c>
      <c r="Q43" s="70">
        <v>6.67</v>
      </c>
      <c r="R43" s="67" t="s">
        <v>100</v>
      </c>
      <c r="S43" s="67">
        <v>6.67</v>
      </c>
      <c r="T43" s="67">
        <v>1.67</v>
      </c>
      <c r="U43" s="70">
        <v>0.84</v>
      </c>
      <c r="V43" s="70">
        <v>1.68</v>
      </c>
      <c r="W43" s="70">
        <v>0.84</v>
      </c>
      <c r="X43" s="70">
        <v>0.7</v>
      </c>
      <c r="Y43" s="70">
        <v>3.335</v>
      </c>
    </row>
    <row r="44" spans="2:25" hidden="1" x14ac:dyDescent="0.25">
      <c r="B44" s="67" t="s">
        <v>101</v>
      </c>
      <c r="C44" s="67">
        <v>5</v>
      </c>
      <c r="D44" s="67">
        <v>5</v>
      </c>
      <c r="E44" s="70">
        <v>0.84</v>
      </c>
      <c r="F44" s="70">
        <v>0.84</v>
      </c>
      <c r="G44" s="70">
        <v>0.28000000000000003</v>
      </c>
      <c r="H44" s="70">
        <v>0.7</v>
      </c>
      <c r="I44" s="67">
        <v>1.67</v>
      </c>
      <c r="J44" s="67" t="s">
        <v>101</v>
      </c>
      <c r="K44" s="67">
        <v>5</v>
      </c>
      <c r="L44" s="67">
        <v>5</v>
      </c>
      <c r="M44" s="70">
        <v>0.84</v>
      </c>
      <c r="N44" s="70">
        <v>1.68</v>
      </c>
      <c r="O44" s="70">
        <v>0.84</v>
      </c>
      <c r="P44" s="70">
        <v>0.7</v>
      </c>
      <c r="Q44" s="70">
        <v>6.67</v>
      </c>
      <c r="R44" s="67" t="s">
        <v>102</v>
      </c>
      <c r="S44" s="67">
        <v>5</v>
      </c>
      <c r="T44" s="67">
        <v>1.67</v>
      </c>
      <c r="U44" s="70">
        <v>0.84</v>
      </c>
      <c r="V44" s="70">
        <v>1.68</v>
      </c>
      <c r="W44" s="70">
        <v>0.84</v>
      </c>
      <c r="X44" s="70">
        <v>0.7</v>
      </c>
      <c r="Y44" s="70">
        <v>3.335</v>
      </c>
    </row>
    <row r="45" spans="2:25" hidden="1" x14ac:dyDescent="0.25">
      <c r="B45" s="67" t="s">
        <v>103</v>
      </c>
      <c r="C45" s="67">
        <v>3.34</v>
      </c>
      <c r="D45" s="67">
        <v>3.34</v>
      </c>
      <c r="E45" s="70">
        <v>0.84</v>
      </c>
      <c r="F45" s="70">
        <v>0.84</v>
      </c>
      <c r="G45" s="70">
        <v>0.28000000000000003</v>
      </c>
      <c r="H45" s="70">
        <v>0.7</v>
      </c>
      <c r="I45" s="67">
        <v>1.67</v>
      </c>
      <c r="J45" s="67" t="s">
        <v>103</v>
      </c>
      <c r="K45" s="67">
        <v>3.34</v>
      </c>
      <c r="L45" s="67">
        <v>3.34</v>
      </c>
      <c r="M45" s="70">
        <v>0.84</v>
      </c>
      <c r="N45" s="70">
        <v>1.68</v>
      </c>
      <c r="O45" s="70">
        <v>0.84</v>
      </c>
      <c r="P45" s="70">
        <v>0.7</v>
      </c>
      <c r="Q45" s="70">
        <v>6.67</v>
      </c>
      <c r="R45" s="67" t="s">
        <v>104</v>
      </c>
      <c r="S45" s="67">
        <v>3.34</v>
      </c>
      <c r="T45" s="67">
        <v>1.67</v>
      </c>
      <c r="U45" s="70">
        <v>0.84</v>
      </c>
      <c r="V45" s="70">
        <v>1.68</v>
      </c>
      <c r="W45" s="70">
        <v>0.84</v>
      </c>
      <c r="X45" s="70">
        <v>0.7</v>
      </c>
      <c r="Y45" s="70">
        <v>3.335</v>
      </c>
    </row>
    <row r="46" spans="2:25" hidden="1" x14ac:dyDescent="0.25">
      <c r="B46" s="71"/>
      <c r="C46" s="71"/>
      <c r="D46" s="71"/>
      <c r="E46" s="72"/>
      <c r="F46" s="72"/>
      <c r="G46" s="72"/>
      <c r="H46" s="72"/>
      <c r="J46" s="71"/>
      <c r="K46" s="71"/>
      <c r="L46" s="71"/>
      <c r="M46" s="72"/>
      <c r="N46" s="72"/>
      <c r="O46" s="72"/>
      <c r="P46" s="72"/>
    </row>
    <row r="47" spans="2:25" hidden="1" x14ac:dyDescent="0.25">
      <c r="B47" s="66" t="s">
        <v>65</v>
      </c>
      <c r="C47" s="66"/>
      <c r="D47" s="66"/>
      <c r="J47" s="66" t="s">
        <v>65</v>
      </c>
      <c r="K47" s="66"/>
      <c r="L47" s="66"/>
      <c r="R47" s="66" t="s">
        <v>65</v>
      </c>
      <c r="S47" s="66"/>
      <c r="T47" s="66"/>
    </row>
    <row r="48" spans="2:25" hidden="1" x14ac:dyDescent="0.25">
      <c r="B48" s="73" t="s">
        <v>48</v>
      </c>
      <c r="C48" s="73" t="s">
        <v>75</v>
      </c>
      <c r="D48" s="73" t="s">
        <v>76</v>
      </c>
      <c r="E48" s="73">
        <v>600</v>
      </c>
      <c r="F48" s="45">
        <v>2400</v>
      </c>
      <c r="G48" s="73" t="s">
        <v>88</v>
      </c>
      <c r="H48" s="73" t="s">
        <v>42</v>
      </c>
      <c r="I48" s="73">
        <v>1200</v>
      </c>
      <c r="J48" s="68" t="s">
        <v>48</v>
      </c>
      <c r="K48" s="68" t="s">
        <v>75</v>
      </c>
      <c r="L48" s="68" t="s">
        <v>76</v>
      </c>
      <c r="M48" s="68" t="s">
        <v>39</v>
      </c>
      <c r="N48" s="69" t="s">
        <v>40</v>
      </c>
      <c r="O48" s="68" t="s">
        <v>41</v>
      </c>
      <c r="P48" s="68" t="s">
        <v>42</v>
      </c>
      <c r="Q48" s="68" t="s">
        <v>78</v>
      </c>
      <c r="R48" s="68" t="s">
        <v>48</v>
      </c>
      <c r="S48" s="68" t="s">
        <v>75</v>
      </c>
      <c r="T48" s="68" t="s">
        <v>76</v>
      </c>
      <c r="U48" s="68" t="s">
        <v>39</v>
      </c>
      <c r="V48" s="69" t="s">
        <v>40</v>
      </c>
      <c r="W48" s="68" t="s">
        <v>41</v>
      </c>
      <c r="X48" s="68" t="s">
        <v>42</v>
      </c>
      <c r="Y48" s="68" t="s">
        <v>78</v>
      </c>
    </row>
    <row r="49" spans="2:25" hidden="1" x14ac:dyDescent="0.25">
      <c r="B49" s="74">
        <v>27</v>
      </c>
      <c r="C49" s="75">
        <v>308</v>
      </c>
      <c r="D49" s="75">
        <v>308</v>
      </c>
      <c r="E49" s="75">
        <v>308</v>
      </c>
      <c r="F49" s="75"/>
      <c r="G49" s="75"/>
      <c r="H49" s="75">
        <v>100</v>
      </c>
      <c r="I49" s="75">
        <v>308</v>
      </c>
      <c r="J49" s="67">
        <v>38</v>
      </c>
      <c r="K49" s="70">
        <v>150</v>
      </c>
      <c r="L49" s="70">
        <v>150</v>
      </c>
      <c r="M49" s="70">
        <v>92</v>
      </c>
      <c r="N49" s="70">
        <v>92</v>
      </c>
      <c r="O49" s="70">
        <v>30</v>
      </c>
      <c r="P49" s="70">
        <v>100</v>
      </c>
      <c r="Q49" s="70">
        <v>270</v>
      </c>
      <c r="R49" s="67">
        <v>38</v>
      </c>
      <c r="S49" s="70">
        <v>150</v>
      </c>
      <c r="T49" s="70">
        <v>150</v>
      </c>
      <c r="U49" s="70">
        <v>92</v>
      </c>
      <c r="V49" s="70">
        <v>92</v>
      </c>
      <c r="W49" s="70">
        <v>30</v>
      </c>
      <c r="X49" s="70">
        <v>100</v>
      </c>
      <c r="Y49" s="70">
        <v>270</v>
      </c>
    </row>
    <row r="50" spans="2:25" hidden="1" x14ac:dyDescent="0.25">
      <c r="B50" s="74">
        <v>40</v>
      </c>
      <c r="C50" s="75">
        <v>200</v>
      </c>
      <c r="D50" s="75">
        <v>200</v>
      </c>
      <c r="E50" s="75">
        <v>200</v>
      </c>
      <c r="F50" s="75">
        <v>10</v>
      </c>
      <c r="G50" s="75"/>
      <c r="H50" s="75">
        <v>100</v>
      </c>
      <c r="I50" s="75">
        <v>104</v>
      </c>
      <c r="J50" s="76"/>
      <c r="R50" s="76"/>
    </row>
    <row r="51" spans="2:25" hidden="1" x14ac:dyDescent="0.25">
      <c r="B51" s="76"/>
    </row>
    <row r="52" spans="2:25" hidden="1" x14ac:dyDescent="0.25">
      <c r="B52" s="66" t="s">
        <v>46</v>
      </c>
      <c r="C52" s="66"/>
      <c r="D52" s="66"/>
      <c r="E52" s="66"/>
      <c r="G52" s="66"/>
      <c r="H52" s="66"/>
      <c r="J52" s="66" t="s">
        <v>46</v>
      </c>
      <c r="K52" s="66"/>
      <c r="L52" s="66"/>
      <c r="M52" s="66"/>
      <c r="O52" s="66"/>
      <c r="P52" s="66"/>
      <c r="R52" s="66" t="s">
        <v>46</v>
      </c>
      <c r="S52" s="66"/>
      <c r="T52" s="66"/>
      <c r="U52" s="66"/>
      <c r="W52" s="66"/>
      <c r="X52" s="66"/>
    </row>
    <row r="53" spans="2:25" hidden="1" x14ac:dyDescent="0.25">
      <c r="B53" s="68" t="s">
        <v>48</v>
      </c>
      <c r="C53" s="68" t="s">
        <v>75</v>
      </c>
      <c r="D53" s="68" t="s">
        <v>76</v>
      </c>
      <c r="E53" s="68">
        <v>600</v>
      </c>
      <c r="F53" s="69">
        <v>2400</v>
      </c>
      <c r="G53" s="68" t="s">
        <v>88</v>
      </c>
      <c r="H53" s="68" t="s">
        <v>42</v>
      </c>
      <c r="I53" s="68">
        <v>1200</v>
      </c>
      <c r="J53" s="68" t="s">
        <v>48</v>
      </c>
      <c r="K53" s="68" t="s">
        <v>75</v>
      </c>
      <c r="L53" s="68" t="s">
        <v>76</v>
      </c>
      <c r="M53" s="68" t="s">
        <v>39</v>
      </c>
      <c r="N53" s="69" t="s">
        <v>40</v>
      </c>
      <c r="O53" s="68" t="s">
        <v>41</v>
      </c>
      <c r="P53" s="68" t="s">
        <v>42</v>
      </c>
      <c r="Q53" s="68" t="s">
        <v>78</v>
      </c>
      <c r="R53" s="68" t="s">
        <v>48</v>
      </c>
      <c r="S53" s="68" t="s">
        <v>75</v>
      </c>
      <c r="T53" s="68" t="s">
        <v>76</v>
      </c>
      <c r="U53" s="68" t="s">
        <v>39</v>
      </c>
      <c r="V53" s="69" t="s">
        <v>40</v>
      </c>
      <c r="W53" s="68" t="s">
        <v>41</v>
      </c>
      <c r="X53" s="68" t="s">
        <v>42</v>
      </c>
      <c r="Y53" s="68" t="s">
        <v>78</v>
      </c>
    </row>
    <row r="54" spans="2:25" hidden="1" x14ac:dyDescent="0.25">
      <c r="B54" s="67">
        <v>27</v>
      </c>
      <c r="C54" s="70">
        <v>9.9</v>
      </c>
      <c r="D54" s="70">
        <v>9.9</v>
      </c>
      <c r="E54" s="70">
        <v>9.9</v>
      </c>
      <c r="F54" s="70">
        <v>1.9</v>
      </c>
      <c r="G54" s="70"/>
      <c r="H54" s="70">
        <v>2.6</v>
      </c>
      <c r="I54" s="70">
        <v>9.9</v>
      </c>
      <c r="J54" s="67">
        <v>38</v>
      </c>
      <c r="K54" s="70">
        <v>7.1</v>
      </c>
      <c r="L54" s="70">
        <v>7.1</v>
      </c>
      <c r="M54" s="70">
        <v>10.1</v>
      </c>
      <c r="N54" s="70">
        <v>10.1</v>
      </c>
      <c r="O54" s="70">
        <v>22.46</v>
      </c>
      <c r="P54" s="70">
        <v>2.6</v>
      </c>
      <c r="Q54" s="70">
        <v>5.5</v>
      </c>
      <c r="R54" s="67">
        <v>38</v>
      </c>
      <c r="S54" s="70">
        <v>7.1</v>
      </c>
      <c r="T54" s="70">
        <v>7.1</v>
      </c>
      <c r="U54" s="70">
        <v>10.1</v>
      </c>
      <c r="V54" s="70">
        <v>10.1</v>
      </c>
      <c r="W54" s="70">
        <v>22.46</v>
      </c>
      <c r="X54" s="70">
        <v>2.6</v>
      </c>
      <c r="Y54" s="70">
        <v>5.5</v>
      </c>
    </row>
    <row r="55" spans="2:25" hidden="1" x14ac:dyDescent="0.25">
      <c r="B55" s="67">
        <v>40</v>
      </c>
      <c r="C55" s="70">
        <v>8.6</v>
      </c>
      <c r="D55" s="70">
        <v>8.6</v>
      </c>
      <c r="E55" s="70">
        <v>8.6</v>
      </c>
      <c r="F55" s="70">
        <v>2.36</v>
      </c>
      <c r="G55" s="70"/>
      <c r="H55" s="70">
        <v>2.6</v>
      </c>
      <c r="I55" s="70">
        <v>9</v>
      </c>
    </row>
    <row r="56" spans="2:25" hidden="1" x14ac:dyDescent="0.25">
      <c r="B56" s="71"/>
      <c r="C56" s="72"/>
      <c r="D56" s="72"/>
      <c r="E56" s="72"/>
      <c r="F56" s="72"/>
      <c r="G56" s="77"/>
      <c r="H56" s="77"/>
      <c r="I56" s="72"/>
    </row>
    <row r="57" spans="2:25" hidden="1" x14ac:dyDescent="0.25">
      <c r="B57" s="66" t="s">
        <v>47</v>
      </c>
      <c r="C57" s="66"/>
      <c r="D57" s="66"/>
      <c r="E57" s="66"/>
      <c r="G57" s="66"/>
      <c r="H57" s="66"/>
      <c r="J57" s="66" t="s">
        <v>47</v>
      </c>
      <c r="K57" s="66"/>
      <c r="L57" s="66"/>
      <c r="M57" s="66"/>
      <c r="O57" s="66"/>
      <c r="P57" s="66"/>
      <c r="R57" s="66" t="s">
        <v>47</v>
      </c>
      <c r="S57" s="66"/>
      <c r="T57" s="66"/>
      <c r="U57" s="66"/>
      <c r="W57" s="66"/>
      <c r="X57" s="66"/>
    </row>
    <row r="58" spans="2:25" hidden="1" x14ac:dyDescent="0.25">
      <c r="B58" s="68" t="s">
        <v>48</v>
      </c>
      <c r="C58" s="68" t="s">
        <v>75</v>
      </c>
      <c r="D58" s="68" t="s">
        <v>76</v>
      </c>
      <c r="E58" s="68">
        <v>600</v>
      </c>
      <c r="F58" s="69">
        <v>2400</v>
      </c>
      <c r="G58" s="68" t="s">
        <v>88</v>
      </c>
      <c r="H58" s="68" t="s">
        <v>42</v>
      </c>
      <c r="I58" s="68">
        <v>1200</v>
      </c>
      <c r="J58" s="68" t="s">
        <v>48</v>
      </c>
      <c r="K58" s="68" t="s">
        <v>75</v>
      </c>
      <c r="L58" s="68" t="s">
        <v>76</v>
      </c>
      <c r="M58" s="68" t="s">
        <v>39</v>
      </c>
      <c r="N58" s="69" t="s">
        <v>40</v>
      </c>
      <c r="O58" s="68" t="s">
        <v>41</v>
      </c>
      <c r="P58" s="68" t="s">
        <v>42</v>
      </c>
      <c r="Q58" s="68" t="s">
        <v>78</v>
      </c>
      <c r="R58" s="68" t="s">
        <v>48</v>
      </c>
      <c r="S58" s="68" t="s">
        <v>75</v>
      </c>
      <c r="T58" s="68" t="s">
        <v>76</v>
      </c>
      <c r="U58" s="68" t="s">
        <v>39</v>
      </c>
      <c r="V58" s="69" t="s">
        <v>40</v>
      </c>
      <c r="W58" s="68" t="s">
        <v>41</v>
      </c>
      <c r="X58" s="68" t="s">
        <v>42</v>
      </c>
      <c r="Y58" s="68" t="s">
        <v>78</v>
      </c>
    </row>
    <row r="59" spans="2:25" hidden="1" x14ac:dyDescent="0.25">
      <c r="B59" s="67">
        <v>27</v>
      </c>
      <c r="C59" s="70">
        <v>0.03</v>
      </c>
      <c r="D59" s="70">
        <v>0.03</v>
      </c>
      <c r="E59" s="70">
        <v>0.03</v>
      </c>
      <c r="F59" s="70">
        <v>0.06</v>
      </c>
      <c r="G59" s="70">
        <v>1.7999999999999999E-2</v>
      </c>
      <c r="H59" s="70">
        <v>0.01</v>
      </c>
      <c r="I59" s="70">
        <v>0.03</v>
      </c>
      <c r="J59" s="67">
        <v>38</v>
      </c>
      <c r="K59" s="70">
        <v>0.03</v>
      </c>
      <c r="L59" s="70">
        <v>0.03</v>
      </c>
      <c r="M59" s="70">
        <v>0.01</v>
      </c>
      <c r="N59" s="70">
        <v>2.1000000000000001E-2</v>
      </c>
      <c r="O59" s="70">
        <v>3.5999999999999997E-2</v>
      </c>
      <c r="P59" s="70">
        <v>0.01</v>
      </c>
      <c r="Q59" s="70">
        <v>3.0000000000000001E-3</v>
      </c>
      <c r="R59" s="67">
        <v>38</v>
      </c>
      <c r="S59" s="70">
        <v>0.03</v>
      </c>
      <c r="T59" s="70">
        <v>0.03</v>
      </c>
      <c r="U59" s="70">
        <v>0.01</v>
      </c>
      <c r="V59" s="70">
        <v>2.1000000000000001E-2</v>
      </c>
      <c r="W59" s="70">
        <v>3.5999999999999997E-2</v>
      </c>
      <c r="X59" s="70">
        <v>0.01</v>
      </c>
      <c r="Y59" s="70">
        <v>3.0000000000000001E-3</v>
      </c>
    </row>
    <row r="60" spans="2:25" hidden="1" x14ac:dyDescent="0.25">
      <c r="B60" s="67">
        <v>40</v>
      </c>
      <c r="C60" s="70">
        <v>0.03</v>
      </c>
      <c r="D60" s="70">
        <v>0.03</v>
      </c>
      <c r="E60" s="70">
        <v>0.03</v>
      </c>
      <c r="F60" s="70">
        <v>0.06</v>
      </c>
      <c r="G60" s="70">
        <v>1.7999999999999999E-2</v>
      </c>
      <c r="H60" s="70">
        <v>0.01</v>
      </c>
      <c r="I60" s="70">
        <v>0.03</v>
      </c>
    </row>
    <row r="63" spans="2:25" hidden="1" x14ac:dyDescent="0.25">
      <c r="B63" s="66" t="s">
        <v>105</v>
      </c>
      <c r="C63" s="66"/>
      <c r="D63" s="66"/>
    </row>
    <row r="64" spans="2:25" hidden="1" x14ac:dyDescent="0.25">
      <c r="B64" s="73" t="s">
        <v>48</v>
      </c>
      <c r="C64" s="73" t="s">
        <v>75</v>
      </c>
      <c r="D64" s="73" t="s">
        <v>76</v>
      </c>
      <c r="E64" s="73">
        <v>600</v>
      </c>
      <c r="F64" s="45">
        <v>2400</v>
      </c>
      <c r="G64" s="73" t="s">
        <v>88</v>
      </c>
      <c r="H64" s="73" t="s">
        <v>42</v>
      </c>
      <c r="I64" s="73">
        <v>1200</v>
      </c>
    </row>
    <row r="65" spans="2:9" hidden="1" x14ac:dyDescent="0.25">
      <c r="B65" s="74">
        <v>27</v>
      </c>
      <c r="C65" s="75">
        <v>184.8</v>
      </c>
      <c r="D65" s="75">
        <v>184.8</v>
      </c>
      <c r="E65" s="75">
        <v>184.8</v>
      </c>
      <c r="F65" s="75">
        <v>374.4</v>
      </c>
      <c r="G65" s="75"/>
      <c r="H65" s="75"/>
      <c r="I65" s="75">
        <v>187.2</v>
      </c>
    </row>
    <row r="66" spans="2:9" hidden="1" x14ac:dyDescent="0.25">
      <c r="B66" s="74">
        <v>40</v>
      </c>
      <c r="C66" s="75">
        <v>120</v>
      </c>
      <c r="D66" s="75">
        <v>120</v>
      </c>
      <c r="E66" s="75">
        <v>120</v>
      </c>
      <c r="F66" s="75">
        <v>24</v>
      </c>
      <c r="G66" s="75"/>
      <c r="H66" s="75"/>
      <c r="I66" s="75">
        <v>124.8</v>
      </c>
    </row>
  </sheetData>
  <sheetProtection algorithmName="SHA-512" hashValue="rC4w/JbOvc08d2SEdXF3wnZkNpqAbHkHuIoHbmFR6KF+lxk0NKzM9YiSDONMRpjHNkOiE2DQ/GMlzmsCxtwgGQ==" saltValue="2s7dkFaZOGH15ze1HiXvAw==" spinCount="100000" sheet="1" objects="1" scenarios="1"/>
  <mergeCells count="8">
    <mergeCell ref="B9:B10"/>
    <mergeCell ref="J9:J10"/>
    <mergeCell ref="R9:R10"/>
    <mergeCell ref="J5:K5"/>
    <mergeCell ref="R5:S5"/>
    <mergeCell ref="C9:E9"/>
    <mergeCell ref="K9:M9"/>
    <mergeCell ref="S9:U9"/>
  </mergeCells>
  <conditionalFormatting sqref="C14">
    <cfRule type="expression" dxfId="9" priority="2">
      <formula>IF($C$6="86х86",1,0)</formula>
    </cfRule>
    <cfRule type="expression" dxfId="8" priority="3">
      <formula>IF($C$6="200х200",1,0)</formula>
    </cfRule>
    <cfRule type="expression" dxfId="7" priority="4">
      <formula>IF($C$6="120х120",1,0)</formula>
    </cfRule>
    <cfRule type="expression" dxfId="6" priority="5">
      <formula>IF($C$6="100х100",1,0)</formula>
    </cfRule>
    <cfRule type="expression" dxfId="5" priority="6">
      <formula>IF($C$6="150х150",1,0)</formula>
    </cfRule>
  </conditionalFormatting>
  <dataValidations count="4">
    <dataValidation type="list" allowBlank="1" showInputMessage="1" showErrorMessage="1" sqref="C5" xr:uid="{00000000-0002-0000-0300-000000000000}">
      <formula1>"27,40"</formula1>
    </dataValidation>
    <dataValidation type="list" allowBlank="1" showInputMessage="1" showErrorMessage="1" sqref="C6" xr:uid="{00000000-0002-0000-0300-000001000000}">
      <formula1>ячейка</formula1>
    </dataValidation>
    <dataValidation type="list" allowBlank="1" showInputMessage="1" showErrorMessage="1" sqref="K6" xr:uid="{00000000-0002-0000-0300-000002000000}">
      <formula1>$B$37:$B$45</formula1>
    </dataValidation>
    <dataValidation type="list" allowBlank="1" showInputMessage="1" showErrorMessage="1" sqref="S6" xr:uid="{00000000-0002-0000-0300-000003000000}">
      <formula1>$R$37:$R$45</formula1>
    </dataValidation>
  </dataValidations>
  <pageMargins left="0.70833333333333304" right="0.70833333333333304" top="0.52986111111111101" bottom="0.74791666666666701" header="0.51180555555555496" footer="0.51180555555555496"/>
  <pageSetup paperSize="9" scale="55" firstPageNumber="0" orientation="landscape" useFirstPageNumber="1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A69"/>
  <sheetViews>
    <sheetView showGridLines="0" workbookViewId="0"/>
  </sheetViews>
  <sheetFormatPr defaultColWidth="0" defaultRowHeight="15" zeroHeight="1" x14ac:dyDescent="0.25"/>
  <cols>
    <col min="1" max="1" width="2.85546875" customWidth="1"/>
    <col min="2" max="2" width="19.85546875" customWidth="1"/>
    <col min="3" max="4" width="9" customWidth="1"/>
    <col min="5" max="5" width="10.28515625" customWidth="1"/>
    <col min="6" max="6" width="9" customWidth="1"/>
    <col min="7" max="7" width="11.7109375" customWidth="1"/>
    <col min="8" max="8" width="4.28515625" customWidth="1"/>
    <col min="9" max="9" width="0" hidden="1" customWidth="1"/>
    <col min="10" max="10" width="21.28515625" customWidth="1"/>
    <col min="11" max="12" width="9" customWidth="1"/>
    <col min="13" max="13" width="10.7109375" customWidth="1"/>
    <col min="14" max="15" width="9" customWidth="1"/>
    <col min="16" max="16" width="4.28515625" customWidth="1"/>
    <col min="17" max="27" width="0" hidden="1" customWidth="1"/>
    <col min="28" max="16384" width="9" hidden="1"/>
  </cols>
  <sheetData>
    <row r="1" spans="1:27" ht="24" customHeight="1" x14ac:dyDescent="0.25">
      <c r="A1" s="42"/>
      <c r="B1" s="42"/>
      <c r="C1" s="42"/>
      <c r="D1" s="42"/>
      <c r="E1" s="42"/>
      <c r="F1" s="42"/>
      <c r="G1" s="42"/>
      <c r="H1" s="43"/>
      <c r="I1" s="43"/>
      <c r="J1" s="42"/>
      <c r="K1" s="42"/>
      <c r="L1" s="42"/>
      <c r="M1" s="42"/>
      <c r="N1" s="42"/>
      <c r="O1" s="42"/>
      <c r="P1" s="42"/>
      <c r="Q1" s="42"/>
      <c r="R1" s="90"/>
      <c r="S1" s="90"/>
      <c r="T1" s="90"/>
      <c r="U1" s="90"/>
      <c r="V1" s="90"/>
      <c r="W1" s="90"/>
      <c r="X1" s="90"/>
      <c r="Y1" s="90"/>
      <c r="Z1" s="127"/>
      <c r="AA1" s="127"/>
    </row>
    <row r="2" spans="1:27" ht="24" customHeight="1" x14ac:dyDescent="0.25">
      <c r="A2" s="42"/>
      <c r="B2" s="42"/>
      <c r="C2" s="42"/>
      <c r="D2" s="42"/>
      <c r="E2" s="42"/>
      <c r="F2" s="42"/>
      <c r="G2" s="42"/>
      <c r="H2" s="43"/>
      <c r="I2" s="43"/>
      <c r="J2" s="42"/>
      <c r="K2" s="42"/>
      <c r="L2" s="42"/>
      <c r="M2" s="42"/>
      <c r="N2" s="42"/>
      <c r="O2" s="42"/>
      <c r="P2" s="42"/>
      <c r="Q2" s="42"/>
      <c r="R2" s="90"/>
      <c r="S2" s="90"/>
      <c r="T2" s="90"/>
      <c r="U2" s="90"/>
      <c r="V2" s="90"/>
      <c r="W2" s="90"/>
      <c r="X2" s="90"/>
      <c r="Y2" s="90"/>
      <c r="Z2" s="127"/>
      <c r="AA2" s="127"/>
    </row>
    <row r="3" spans="1:27" ht="15.75" x14ac:dyDescent="0.25">
      <c r="A3" s="42"/>
      <c r="B3" s="230" t="s">
        <v>150</v>
      </c>
      <c r="C3" s="231"/>
      <c r="D3" s="231"/>
      <c r="E3" s="231"/>
      <c r="F3" s="42"/>
      <c r="G3" s="44"/>
      <c r="H3" s="43"/>
      <c r="I3" s="43"/>
      <c r="J3" s="230" t="s">
        <v>106</v>
      </c>
      <c r="K3" s="231"/>
      <c r="L3" s="231"/>
      <c r="M3" s="231"/>
      <c r="N3" s="42"/>
      <c r="O3" s="42"/>
      <c r="P3" s="42"/>
      <c r="Q3" s="42"/>
      <c r="R3" s="91"/>
      <c r="S3" s="90"/>
      <c r="T3" s="90"/>
      <c r="U3" s="90"/>
      <c r="V3" s="90"/>
      <c r="W3" s="90"/>
      <c r="X3" s="90"/>
      <c r="Y3" s="90"/>
      <c r="Z3" s="127"/>
      <c r="AA3" s="127"/>
    </row>
    <row r="4" spans="1:27" x14ac:dyDescent="0.25">
      <c r="A4" s="42"/>
      <c r="B4" s="42"/>
      <c r="C4" s="42"/>
      <c r="D4" s="42"/>
      <c r="E4" s="42"/>
      <c r="F4" s="42"/>
      <c r="G4" s="42"/>
      <c r="H4" s="43"/>
      <c r="I4" s="43"/>
      <c r="J4" s="42"/>
      <c r="K4" s="42"/>
      <c r="L4" s="42"/>
      <c r="M4" s="42"/>
      <c r="N4" s="42"/>
      <c r="O4" s="42"/>
      <c r="P4" s="42"/>
      <c r="Q4" s="42"/>
      <c r="R4" s="90"/>
      <c r="S4" s="90"/>
      <c r="T4" s="90"/>
      <c r="U4" s="90"/>
      <c r="V4" s="90"/>
      <c r="W4" s="90"/>
      <c r="X4" s="90"/>
      <c r="Y4" s="90"/>
      <c r="Z4" s="127"/>
      <c r="AA4" s="127"/>
    </row>
    <row r="5" spans="1:27" x14ac:dyDescent="0.25">
      <c r="A5" s="42"/>
      <c r="B5" s="235" t="s">
        <v>70</v>
      </c>
      <c r="C5" s="236">
        <v>40</v>
      </c>
      <c r="D5" s="232" t="s">
        <v>13</v>
      </c>
      <c r="E5" s="233"/>
      <c r="F5" s="42"/>
      <c r="G5" s="44"/>
      <c r="H5" s="43"/>
      <c r="I5" s="43"/>
      <c r="J5" s="300" t="s">
        <v>71</v>
      </c>
      <c r="K5" s="300"/>
      <c r="L5" s="237"/>
      <c r="M5" s="237"/>
      <c r="N5" s="78"/>
      <c r="O5" s="79"/>
      <c r="P5" s="79"/>
      <c r="Q5" s="42"/>
      <c r="R5" s="297"/>
      <c r="S5" s="297"/>
      <c r="T5" s="92"/>
      <c r="U5" s="93"/>
      <c r="V5" s="94"/>
      <c r="W5" s="93"/>
      <c r="X5" s="93"/>
      <c r="Y5" s="90"/>
      <c r="Z5" s="127"/>
      <c r="AA5" s="127"/>
    </row>
    <row r="6" spans="1:27" x14ac:dyDescent="0.25">
      <c r="A6" s="42"/>
      <c r="B6" s="235" t="s">
        <v>72</v>
      </c>
      <c r="C6" s="236" t="s">
        <v>73</v>
      </c>
      <c r="D6" s="232" t="s">
        <v>13</v>
      </c>
      <c r="E6" s="233"/>
      <c r="F6" s="42"/>
      <c r="G6" s="42"/>
      <c r="H6" s="43"/>
      <c r="I6" s="43"/>
      <c r="J6" s="235" t="s">
        <v>72</v>
      </c>
      <c r="K6" s="236" t="s">
        <v>73</v>
      </c>
      <c r="L6" s="232" t="s">
        <v>13</v>
      </c>
      <c r="M6" s="233"/>
      <c r="N6" s="79"/>
      <c r="O6" s="79"/>
      <c r="P6" s="79"/>
      <c r="Q6" s="42"/>
      <c r="R6" s="95"/>
      <c r="S6" s="96"/>
      <c r="T6" s="92"/>
      <c r="U6" s="93"/>
      <c r="V6" s="93"/>
      <c r="W6" s="93"/>
      <c r="X6" s="93"/>
      <c r="Y6" s="90"/>
      <c r="Z6" s="127"/>
      <c r="AA6" s="127"/>
    </row>
    <row r="7" spans="1:27" x14ac:dyDescent="0.25">
      <c r="A7" s="42"/>
      <c r="B7" s="235" t="s">
        <v>14</v>
      </c>
      <c r="C7" s="236">
        <v>500</v>
      </c>
      <c r="D7" s="234" t="s">
        <v>15</v>
      </c>
      <c r="E7" s="43"/>
      <c r="F7" s="42"/>
      <c r="G7" s="42"/>
      <c r="H7" s="43"/>
      <c r="I7" s="43"/>
      <c r="J7" s="235" t="s">
        <v>14</v>
      </c>
      <c r="K7" s="236">
        <v>100</v>
      </c>
      <c r="L7" s="234" t="s">
        <v>15</v>
      </c>
      <c r="M7" s="233"/>
      <c r="N7" s="79"/>
      <c r="O7" s="79"/>
      <c r="P7" s="79"/>
      <c r="Q7" s="42"/>
      <c r="R7" s="95"/>
      <c r="S7" s="96"/>
      <c r="T7" s="97"/>
      <c r="U7" s="93"/>
      <c r="V7" s="93"/>
      <c r="W7" s="93"/>
      <c r="X7" s="93"/>
      <c r="Y7" s="90"/>
      <c r="Z7" s="127"/>
      <c r="AA7" s="127"/>
    </row>
    <row r="8" spans="1:27" x14ac:dyDescent="0.25">
      <c r="A8" s="42"/>
      <c r="B8" s="46"/>
      <c r="C8" s="46"/>
      <c r="D8" s="47"/>
      <c r="E8" s="47"/>
      <c r="F8" s="47"/>
      <c r="G8" s="47"/>
      <c r="H8" s="46"/>
      <c r="I8" s="43"/>
      <c r="J8" s="42"/>
      <c r="K8" s="42"/>
      <c r="L8" s="42"/>
      <c r="M8" s="47"/>
      <c r="N8" s="79"/>
      <c r="O8" s="79"/>
      <c r="P8" s="79"/>
      <c r="Q8" s="42"/>
      <c r="R8" s="90"/>
      <c r="S8" s="90"/>
      <c r="T8" s="90"/>
      <c r="U8" s="93"/>
      <c r="V8" s="93"/>
      <c r="W8" s="93"/>
      <c r="X8" s="93"/>
      <c r="Y8" s="90"/>
      <c r="Z8" s="127"/>
      <c r="AA8" s="127"/>
    </row>
    <row r="9" spans="1:27" ht="25.5" x14ac:dyDescent="0.25">
      <c r="A9" s="42"/>
      <c r="B9" s="298" t="s">
        <v>16</v>
      </c>
      <c r="C9" s="298" t="s">
        <v>17</v>
      </c>
      <c r="D9" s="298"/>
      <c r="E9" s="298"/>
      <c r="F9" s="256" t="s">
        <v>18</v>
      </c>
      <c r="G9" s="257" t="s">
        <v>19</v>
      </c>
      <c r="H9" s="48"/>
      <c r="I9" s="43"/>
      <c r="J9" s="298" t="s">
        <v>16</v>
      </c>
      <c r="K9" s="298" t="s">
        <v>17</v>
      </c>
      <c r="L9" s="298"/>
      <c r="M9" s="298"/>
      <c r="N9" s="256" t="s">
        <v>18</v>
      </c>
      <c r="O9" s="257" t="s">
        <v>19</v>
      </c>
      <c r="P9" s="48"/>
      <c r="Q9" s="42"/>
      <c r="R9" s="299"/>
      <c r="S9" s="299"/>
      <c r="T9" s="299"/>
      <c r="U9" s="299"/>
      <c r="V9" s="98"/>
      <c r="W9" s="99"/>
      <c r="X9" s="98"/>
      <c r="Y9" s="90"/>
      <c r="Z9" s="127"/>
      <c r="AA9" s="127"/>
    </row>
    <row r="10" spans="1:27" x14ac:dyDescent="0.25">
      <c r="A10" s="42"/>
      <c r="B10" s="298"/>
      <c r="C10" s="256" t="s">
        <v>21</v>
      </c>
      <c r="D10" s="256" t="s">
        <v>22</v>
      </c>
      <c r="E10" s="256" t="s">
        <v>23</v>
      </c>
      <c r="F10" s="256" t="s">
        <v>24</v>
      </c>
      <c r="G10" s="257" t="s">
        <v>21</v>
      </c>
      <c r="H10" s="48"/>
      <c r="I10" s="43"/>
      <c r="J10" s="298"/>
      <c r="K10" s="256" t="s">
        <v>21</v>
      </c>
      <c r="L10" s="256" t="s">
        <v>22</v>
      </c>
      <c r="M10" s="256" t="s">
        <v>23</v>
      </c>
      <c r="N10" s="256" t="s">
        <v>24</v>
      </c>
      <c r="O10" s="257" t="s">
        <v>21</v>
      </c>
      <c r="P10" s="48"/>
      <c r="Q10" s="42"/>
      <c r="R10" s="299"/>
      <c r="S10" s="98"/>
      <c r="T10" s="98"/>
      <c r="U10" s="98"/>
      <c r="V10" s="98"/>
      <c r="W10" s="99"/>
      <c r="X10" s="98"/>
      <c r="Y10" s="90"/>
      <c r="Z10" s="127"/>
      <c r="AA10" s="127"/>
    </row>
    <row r="11" spans="1:27" x14ac:dyDescent="0.25">
      <c r="A11" s="42"/>
      <c r="B11" s="258" t="s">
        <v>75</v>
      </c>
      <c r="C11" s="259">
        <f>CEILING(D11/0.6,VLOOKUP($C$5,$B$51:$I$53,2,0))</f>
        <v>6960</v>
      </c>
      <c r="D11" s="260">
        <f>IF($C$5=27,CEILING(C$7*(VLOOKUP(C$6,B$40:I$48,2,0)),184.8),CEILING($C$7*(VLOOKUP(C$6,B$40:I$48,2,0)),72))</f>
        <v>4176</v>
      </c>
      <c r="E11" s="261">
        <f>CEILING(C11/(VLOOKUP($C$5,$B$52:$I$53,2,0)),1)</f>
        <v>58</v>
      </c>
      <c r="F11" s="261">
        <f>CEILING(E11*(VLOOKUP($C$5,$B$57:$I$58,2,0)),1)</f>
        <v>725</v>
      </c>
      <c r="G11" s="262">
        <f>CEILING(E11/80,0.1)</f>
        <v>0.8</v>
      </c>
      <c r="H11" s="51"/>
      <c r="I11" s="41"/>
      <c r="J11" s="271" t="s">
        <v>75</v>
      </c>
      <c r="K11" s="272">
        <f>CEILING(L11/0.6,1)</f>
        <v>1500</v>
      </c>
      <c r="L11" s="273">
        <f>CEILING($K$7*(VLOOKUP($K$6,$J$40:$Q$48,2,0)),90)</f>
        <v>900</v>
      </c>
      <c r="M11" s="261">
        <f>CEILING(K11/K52,1)</f>
        <v>10</v>
      </c>
      <c r="N11" s="261">
        <f>CEILING(M11*K57,1)</f>
        <v>163</v>
      </c>
      <c r="O11" s="274">
        <f>CEILING(M$11/80,0.1)</f>
        <v>0.2</v>
      </c>
      <c r="P11" s="51"/>
      <c r="Q11" s="1"/>
      <c r="R11" s="100"/>
      <c r="S11" s="101"/>
      <c r="T11" s="102"/>
      <c r="U11" s="103"/>
      <c r="V11" s="103"/>
      <c r="W11" s="104"/>
      <c r="X11" s="105"/>
      <c r="Y11" s="90"/>
      <c r="Z11" s="127"/>
      <c r="AA11" s="127"/>
    </row>
    <row r="12" spans="1:27" x14ac:dyDescent="0.25">
      <c r="A12" s="42"/>
      <c r="B12" s="258" t="s">
        <v>76</v>
      </c>
      <c r="C12" s="259">
        <f>CEILING(D12/0.6,VLOOKUP($C$5,$B$51:$I$53,3,0))</f>
        <v>6960</v>
      </c>
      <c r="D12" s="260">
        <f>IF($C$5=27,CEILING(C$7*(VLOOKUP(C$6,B$40:I$48,3,0)),184.8),CEILING($C$7*(VLOOKUP(C$6,B$40:I$48,3,0)),72))</f>
        <v>4176</v>
      </c>
      <c r="E12" s="261">
        <f>CEILING(C12/(VLOOKUP($C$5,$B$52:$I$53,3,0)),1)</f>
        <v>58</v>
      </c>
      <c r="F12" s="261">
        <f>CEILING(E12*(VLOOKUP($C$5,$B$57:$I$58,3,0)),1)</f>
        <v>725</v>
      </c>
      <c r="G12" s="262">
        <f>CEILING(E12/80,0.1)</f>
        <v>0.8</v>
      </c>
      <c r="H12" s="51"/>
      <c r="I12" s="41"/>
      <c r="J12" s="271" t="s">
        <v>76</v>
      </c>
      <c r="K12" s="272">
        <f>CEILING(L12/0.6,1)</f>
        <v>1500</v>
      </c>
      <c r="L12" s="273">
        <f>CEILING($K$7*(VLOOKUP($K$6,$J$40:$Q$48,3,0)),90)</f>
        <v>900</v>
      </c>
      <c r="M12" s="261">
        <f>CEILING(K12/L52,1)</f>
        <v>10</v>
      </c>
      <c r="N12" s="261">
        <f>CEILING(M12*L57,1)</f>
        <v>163</v>
      </c>
      <c r="O12" s="274">
        <f>CEILING(M$12/80,0.1)</f>
        <v>0.2</v>
      </c>
      <c r="P12" s="51"/>
      <c r="Q12" s="1"/>
      <c r="R12" s="100"/>
      <c r="S12" s="101"/>
      <c r="T12" s="102"/>
      <c r="U12" s="103"/>
      <c r="V12" s="103"/>
      <c r="W12" s="104"/>
      <c r="X12" s="105"/>
      <c r="Y12" s="90"/>
      <c r="Z12" s="127"/>
      <c r="AA12" s="127"/>
    </row>
    <row r="13" spans="1:27" x14ac:dyDescent="0.25">
      <c r="A13" s="42"/>
      <c r="B13" s="258" t="s">
        <v>77</v>
      </c>
      <c r="C13" s="259">
        <f>CEILING(D13/0.6,VLOOKUP($C$5,$B$51:$I$53,4,0))</f>
        <v>840</v>
      </c>
      <c r="D13" s="260">
        <f>IF($C$5=27,CEILING(C$7*(VLOOKUP(C$6,B$40:I$48,4,0)),184.8),CEILING($C$7*(VLOOKUP(C$6,B$40:I$48,4,0)),120))</f>
        <v>480</v>
      </c>
      <c r="E13" s="261">
        <f>CEILING(C13/(VLOOKUP($C$5,$B$52:$I$53,4,0)),1)</f>
        <v>7</v>
      </c>
      <c r="F13" s="261">
        <f>CEILING(E13*(VLOOKUP($C$5,$B$57:$I$58,4,0)),1)</f>
        <v>88</v>
      </c>
      <c r="G13" s="262">
        <f>CEILING(E13/80,0.1)</f>
        <v>0.1</v>
      </c>
      <c r="H13" s="51"/>
      <c r="I13" s="41"/>
      <c r="J13" s="271" t="s">
        <v>78</v>
      </c>
      <c r="K13" s="259">
        <f>CEILING(L13/0.6,1)</f>
        <v>1350</v>
      </c>
      <c r="L13" s="273">
        <f>CEILING($K$7*(VLOOKUP($K$6,$J$40:$Q$48,8,0)),162)</f>
        <v>810</v>
      </c>
      <c r="M13" s="261">
        <f>CEILING(K13/Q52,1)</f>
        <v>5</v>
      </c>
      <c r="N13" s="261">
        <f>CEILING(M13*Q57,1)</f>
        <v>66</v>
      </c>
      <c r="O13" s="274">
        <f>CEILING(M13/160,0.1)</f>
        <v>0.1</v>
      </c>
      <c r="P13" s="51"/>
      <c r="Q13" s="1"/>
      <c r="R13" s="100"/>
      <c r="S13" s="101"/>
      <c r="T13" s="102"/>
      <c r="U13" s="106"/>
      <c r="V13" s="103"/>
      <c r="W13" s="104"/>
      <c r="X13" s="105"/>
      <c r="Y13" s="90"/>
      <c r="Z13" s="127"/>
      <c r="AA13" s="127"/>
    </row>
    <row r="14" spans="1:27" x14ac:dyDescent="0.25">
      <c r="A14" s="42"/>
      <c r="B14" s="258" t="s">
        <v>80</v>
      </c>
      <c r="C14" s="263">
        <f>CEILING(D14/1.2,1)</f>
        <v>720</v>
      </c>
      <c r="D14" s="264">
        <f>IF($C$5=27,CEILING(C$7*(VLOOKUP(C$6,B$40:I$48,8,0)),187.2),CEILING($C$7*(VLOOKUP(C$6,B$40:I$48,8,0)),72))</f>
        <v>864</v>
      </c>
      <c r="E14" s="263">
        <f>CEILING(C14/(VLOOKUP($C$5,$B$52:$I$53,8,0)),1)</f>
        <v>12</v>
      </c>
      <c r="F14" s="263">
        <f>CEILING(E14*(VLOOKUP($C$5,$B$57:$I$58,8,0)),1)</f>
        <v>149</v>
      </c>
      <c r="G14" s="263">
        <f>CEILING(E14/80,0.1)</f>
        <v>0.2</v>
      </c>
      <c r="H14" s="54"/>
      <c r="I14" s="41"/>
      <c r="J14" s="271" t="s">
        <v>26</v>
      </c>
      <c r="K14" s="275">
        <f>CEILING(L14/3.6,1)</f>
        <v>30</v>
      </c>
      <c r="L14" s="276">
        <f>CEILING($K$7*(VLOOKUP($K$6,$J$40:$Q$48,6,0)),108)</f>
        <v>108</v>
      </c>
      <c r="M14" s="261">
        <f>CEILING(K14/O52,1)</f>
        <v>1</v>
      </c>
      <c r="N14" s="261">
        <f>CEILING(M14*O57,1)</f>
        <v>23</v>
      </c>
      <c r="O14" s="274">
        <f>CEILING(M14/60,0.1)</f>
        <v>0.1</v>
      </c>
      <c r="P14" s="51"/>
      <c r="Q14" s="1"/>
      <c r="R14" s="100"/>
      <c r="S14" s="101"/>
      <c r="T14" s="102"/>
      <c r="U14" s="106"/>
      <c r="V14" s="103"/>
      <c r="W14" s="104"/>
      <c r="X14" s="105"/>
      <c r="Y14" s="90"/>
      <c r="Z14" s="127"/>
      <c r="AA14" s="127"/>
    </row>
    <row r="15" spans="1:27" x14ac:dyDescent="0.25">
      <c r="A15" s="42"/>
      <c r="B15" s="258" t="s">
        <v>82</v>
      </c>
      <c r="C15" s="259">
        <f>CEILING(D15/2.4,10)</f>
        <v>180</v>
      </c>
      <c r="D15" s="265">
        <f>IF($C$5=27,CEILING(C$7*(VLOOKUP(C$6,B$40:I$48,5,0)),2.4),CEILING($C$7*(VLOOKUP(C$6,B$40:I$48,5,0)),2.4))</f>
        <v>420</v>
      </c>
      <c r="E15" s="263">
        <f>CEILING(C15/(VLOOKUP($C$5,$B$52:$I$53,5,0)),1)</f>
        <v>18</v>
      </c>
      <c r="F15" s="263"/>
      <c r="G15" s="262"/>
      <c r="H15" s="51"/>
      <c r="I15" s="41"/>
      <c r="J15" s="271" t="s">
        <v>27</v>
      </c>
      <c r="K15" s="275">
        <f>CEILING(L15/1.2,1)</f>
        <v>184</v>
      </c>
      <c r="L15" s="277">
        <f>CEILING(VLOOKUP(K6,$J$39:$Q$48,5,0)*K7,110.4)</f>
        <v>220.8</v>
      </c>
      <c r="M15" s="261">
        <f>CEILING(K15/N52,1)</f>
        <v>2</v>
      </c>
      <c r="N15" s="261">
        <f>CEILING(M15*N57,1)</f>
        <v>21</v>
      </c>
      <c r="O15" s="274">
        <f>CEILING(M15/80,0.1)</f>
        <v>0.1</v>
      </c>
      <c r="P15" s="51"/>
      <c r="Q15" s="1"/>
      <c r="R15" s="100"/>
      <c r="S15" s="101"/>
      <c r="T15" s="102"/>
      <c r="U15" s="106"/>
      <c r="V15" s="103"/>
      <c r="W15" s="104"/>
      <c r="X15" s="105"/>
      <c r="Y15" s="90"/>
      <c r="Z15" s="127"/>
      <c r="AA15" s="127"/>
    </row>
    <row r="16" spans="1:27" x14ac:dyDescent="0.25">
      <c r="A16" s="42"/>
      <c r="B16" s="258" t="s">
        <v>83</v>
      </c>
      <c r="C16" s="259">
        <f>C15</f>
        <v>180</v>
      </c>
      <c r="D16" s="266">
        <f>C7*(VLOOKUP(C6,$B$40:$I$48,6,0))</f>
        <v>140</v>
      </c>
      <c r="E16" s="267"/>
      <c r="F16" s="267"/>
      <c r="G16" s="262"/>
      <c r="H16" s="51"/>
      <c r="I16" s="41"/>
      <c r="J16" s="271" t="s">
        <v>28</v>
      </c>
      <c r="K16" s="275">
        <f>CEILING(L16/0.6,1)</f>
        <v>184</v>
      </c>
      <c r="L16" s="278">
        <f>CEILING($K$7*(VLOOKUP($K$6,$J$40:$Q$48,4,0)),55.2)</f>
        <v>110.4</v>
      </c>
      <c r="M16" s="261">
        <f>CEILING(K16/M52,1)</f>
        <v>2</v>
      </c>
      <c r="N16" s="261">
        <f>CEILING(M16*M57,1)</f>
        <v>21</v>
      </c>
      <c r="O16" s="274">
        <f>CEILING(M16/80,0.1)</f>
        <v>0.1</v>
      </c>
      <c r="P16" s="51"/>
      <c r="Q16" s="1"/>
      <c r="R16" s="100"/>
      <c r="S16" s="101"/>
      <c r="T16" s="107"/>
      <c r="U16" s="106"/>
      <c r="V16" s="103"/>
      <c r="W16" s="104"/>
      <c r="X16" s="105"/>
      <c r="Y16" s="90"/>
      <c r="Z16" s="127"/>
      <c r="AA16" s="127"/>
    </row>
    <row r="17" spans="1:27" x14ac:dyDescent="0.25">
      <c r="A17" s="42"/>
      <c r="B17" s="258" t="s">
        <v>84</v>
      </c>
      <c r="C17" s="261">
        <f>CEILING(D17/3,1)</f>
        <v>135</v>
      </c>
      <c r="D17" s="268">
        <f>CEILING(C7*0.7,135)</f>
        <v>405</v>
      </c>
      <c r="E17" s="269">
        <f>CEILING(D17/135,1)</f>
        <v>3</v>
      </c>
      <c r="F17" s="270">
        <f>E17*10.8</f>
        <v>32.400000000000006</v>
      </c>
      <c r="G17" s="262">
        <f>CEILING(E17/60,0.1)</f>
        <v>0.1</v>
      </c>
      <c r="H17" s="59"/>
      <c r="I17" s="41"/>
      <c r="J17" s="258" t="s">
        <v>84</v>
      </c>
      <c r="K17" s="261">
        <f>CEILING(L17/3,1)</f>
        <v>45</v>
      </c>
      <c r="L17" s="279">
        <f>CEILING(K7*0.7,135)</f>
        <v>135</v>
      </c>
      <c r="M17" s="269">
        <f>CEILING(L17/135,1)</f>
        <v>1</v>
      </c>
      <c r="N17" s="270">
        <f>M17*10.8</f>
        <v>10.8</v>
      </c>
      <c r="O17" s="274">
        <f>CEILING(M17/60,0.1)</f>
        <v>0.1</v>
      </c>
      <c r="P17" s="59"/>
      <c r="Q17" s="1"/>
      <c r="R17" s="100"/>
      <c r="S17" s="101"/>
      <c r="T17" s="107"/>
      <c r="U17" s="106"/>
      <c r="V17" s="103"/>
      <c r="W17" s="104"/>
      <c r="X17" s="105"/>
      <c r="Y17" s="90"/>
      <c r="Z17" s="127"/>
      <c r="AA17" s="127"/>
    </row>
    <row r="18" spans="1:27" ht="15.75" thickBot="1" x14ac:dyDescent="0.3">
      <c r="A18" s="42"/>
      <c r="B18" s="285" t="s">
        <v>30</v>
      </c>
      <c r="C18" s="286">
        <f>CEILING(D18,VLOOKUP($C$5,$B$51:$I$53,7,0))</f>
        <v>400</v>
      </c>
      <c r="D18" s="287">
        <f>C7*(VLOOKUP(C6,$B$40:$I$48,7,0))</f>
        <v>350</v>
      </c>
      <c r="E18" s="288">
        <f>CEILING(C18/(VLOOKUP($C$5,$B$52:$I$53,7,0)),1)</f>
        <v>4</v>
      </c>
      <c r="F18" s="288">
        <f>CEILING(E18*(VLOOKUP($C$5,$B$57:$I$58,7,0)),1)</f>
        <v>11</v>
      </c>
      <c r="G18" s="289">
        <f>CEILING(E18/100,0.1)</f>
        <v>0.1</v>
      </c>
      <c r="H18" s="51"/>
      <c r="I18" s="41"/>
      <c r="J18" s="290" t="s">
        <v>30</v>
      </c>
      <c r="K18" s="286">
        <f>CEILING(L18,VLOOKUP($C$5,$B$51:$I$53,7,0))</f>
        <v>100</v>
      </c>
      <c r="L18" s="287">
        <f>K7*(VLOOKUP(K6,$J$40:$Q$48,7,0))</f>
        <v>70</v>
      </c>
      <c r="M18" s="288">
        <f>ROUNDUP(K18/100,0)</f>
        <v>1</v>
      </c>
      <c r="N18" s="288">
        <f>CEILING(M18*P57,1)</f>
        <v>3</v>
      </c>
      <c r="O18" s="142">
        <f>CEILING(M18/100,0.1)</f>
        <v>0.1</v>
      </c>
      <c r="P18" s="51"/>
      <c r="Q18" s="1"/>
      <c r="R18" s="108"/>
      <c r="S18" s="103"/>
      <c r="T18" s="109"/>
      <c r="U18" s="110"/>
      <c r="V18" s="111"/>
      <c r="W18" s="104"/>
      <c r="X18" s="112"/>
      <c r="Y18" s="90"/>
      <c r="Z18" s="127"/>
      <c r="AA18" s="127"/>
    </row>
    <row r="19" spans="1:27" x14ac:dyDescent="0.25">
      <c r="A19" s="42"/>
      <c r="B19" s="280" t="s">
        <v>35</v>
      </c>
      <c r="C19" s="281">
        <f t="shared" ref="C19:G19" si="0">SUM(C11:C18)</f>
        <v>16375</v>
      </c>
      <c r="D19" s="281">
        <f t="shared" si="0"/>
        <v>11011</v>
      </c>
      <c r="E19" s="281">
        <f t="shared" si="0"/>
        <v>160</v>
      </c>
      <c r="F19" s="281">
        <f t="shared" si="0"/>
        <v>1730.4</v>
      </c>
      <c r="G19" s="282">
        <f t="shared" si="0"/>
        <v>2.1</v>
      </c>
      <c r="H19" s="62"/>
      <c r="I19" s="41"/>
      <c r="J19" s="283" t="s">
        <v>35</v>
      </c>
      <c r="K19" s="281">
        <f t="shared" ref="K19:O19" si="1">SUM(K11:K18)</f>
        <v>4893</v>
      </c>
      <c r="L19" s="281">
        <f t="shared" si="1"/>
        <v>3254.2000000000003</v>
      </c>
      <c r="M19" s="281">
        <f t="shared" si="1"/>
        <v>32</v>
      </c>
      <c r="N19" s="281">
        <f t="shared" si="1"/>
        <v>470.8</v>
      </c>
      <c r="O19" s="284">
        <f t="shared" si="1"/>
        <v>0.99999999999999989</v>
      </c>
      <c r="P19" s="62"/>
      <c r="Q19" s="1"/>
      <c r="R19" s="100"/>
      <c r="S19" s="113"/>
      <c r="T19" s="114"/>
      <c r="U19" s="106"/>
      <c r="V19" s="103"/>
      <c r="W19" s="104"/>
      <c r="X19" s="105"/>
      <c r="Y19" s="90"/>
      <c r="Z19" s="127"/>
      <c r="AA19" s="127"/>
    </row>
    <row r="20" spans="1:27" ht="14.25" customHeight="1" x14ac:dyDescent="0.25">
      <c r="A20" s="42"/>
      <c r="B20" s="47"/>
      <c r="C20" s="47"/>
      <c r="D20" s="47"/>
      <c r="E20" s="47"/>
      <c r="F20" s="47"/>
      <c r="G20" s="47"/>
      <c r="H20" s="46"/>
      <c r="I20" s="43"/>
      <c r="J20" s="46"/>
      <c r="K20" s="47"/>
      <c r="L20" s="47"/>
      <c r="M20" s="47"/>
      <c r="N20" s="47"/>
      <c r="O20" s="47"/>
      <c r="P20" s="46"/>
      <c r="Q20" s="42"/>
      <c r="R20" s="115"/>
      <c r="S20" s="116"/>
      <c r="T20" s="116"/>
      <c r="U20" s="117"/>
      <c r="V20" s="116"/>
      <c r="W20" s="118"/>
      <c r="X20" s="62"/>
      <c r="Y20" s="90"/>
      <c r="Z20" s="127"/>
      <c r="AA20" s="127"/>
    </row>
    <row r="21" spans="1:27" x14ac:dyDescent="0.25">
      <c r="A21" s="42"/>
      <c r="B21" s="63" t="s">
        <v>85</v>
      </c>
      <c r="C21" s="64"/>
      <c r="D21" s="64"/>
      <c r="E21" s="64"/>
      <c r="F21" s="64"/>
      <c r="G21" s="64"/>
      <c r="H21" s="65"/>
      <c r="I21" s="43"/>
      <c r="J21" s="63" t="s">
        <v>86</v>
      </c>
      <c r="K21" s="89"/>
      <c r="L21" s="89"/>
      <c r="M21" s="89"/>
      <c r="N21" s="89"/>
      <c r="O21" s="89"/>
      <c r="P21" s="89"/>
      <c r="Q21" s="42"/>
      <c r="R21" s="90"/>
      <c r="S21" s="90"/>
      <c r="T21" s="90"/>
      <c r="U21" s="90"/>
      <c r="V21" s="90"/>
      <c r="W21" s="90"/>
      <c r="X21" s="90"/>
      <c r="Y21" s="90"/>
      <c r="Z21" s="127"/>
      <c r="AA21" s="127"/>
    </row>
    <row r="22" spans="1:27" x14ac:dyDescent="0.25">
      <c r="A22" s="42"/>
      <c r="K22" s="89"/>
      <c r="L22" s="89"/>
      <c r="M22" s="89"/>
      <c r="N22" s="89"/>
      <c r="O22" s="89"/>
      <c r="P22" s="89"/>
      <c r="Q22" s="42"/>
      <c r="R22" s="119"/>
      <c r="S22" s="90"/>
      <c r="T22" s="90"/>
      <c r="U22" s="90"/>
      <c r="V22" s="90"/>
      <c r="W22" s="90"/>
      <c r="X22" s="90"/>
      <c r="Y22" s="120"/>
    </row>
    <row r="23" spans="1:27" x14ac:dyDescent="0.25">
      <c r="A23" s="42"/>
      <c r="K23" s="89"/>
      <c r="L23" s="89"/>
      <c r="M23" s="89"/>
      <c r="N23" s="89"/>
      <c r="O23" s="89"/>
      <c r="P23" s="89"/>
      <c r="Q23" s="42"/>
      <c r="R23" s="119"/>
      <c r="S23" s="90"/>
      <c r="T23" s="90"/>
      <c r="U23" s="90"/>
      <c r="V23" s="90"/>
      <c r="W23" s="90"/>
      <c r="X23" s="90"/>
      <c r="Y23" s="120"/>
    </row>
    <row r="24" spans="1:27" x14ac:dyDescent="0.25">
      <c r="A24" s="42"/>
      <c r="K24" s="89"/>
      <c r="L24" s="89"/>
      <c r="M24" s="89"/>
      <c r="N24" s="89"/>
      <c r="O24" s="89"/>
      <c r="P24" s="89"/>
      <c r="Q24" s="42"/>
      <c r="R24" s="119"/>
      <c r="S24" s="90"/>
      <c r="T24" s="90"/>
      <c r="U24" s="90"/>
      <c r="V24" s="90"/>
      <c r="W24" s="90"/>
      <c r="X24" s="90"/>
      <c r="Y24" s="120"/>
    </row>
    <row r="25" spans="1:27" x14ac:dyDescent="0.25">
      <c r="A25" s="42"/>
      <c r="K25" s="89"/>
      <c r="L25" s="89"/>
      <c r="M25" s="89"/>
      <c r="N25" s="89"/>
      <c r="O25" s="89"/>
      <c r="P25" s="89"/>
      <c r="Q25" s="42"/>
      <c r="R25" s="119"/>
      <c r="S25" s="90"/>
      <c r="T25" s="90"/>
      <c r="U25" s="90"/>
      <c r="V25" s="90"/>
      <c r="W25" s="90"/>
      <c r="X25" s="90"/>
      <c r="Y25" s="120"/>
    </row>
    <row r="26" spans="1:27" x14ac:dyDescent="0.25">
      <c r="A26" s="42"/>
      <c r="K26" s="89"/>
      <c r="L26" s="89"/>
      <c r="M26" s="89"/>
      <c r="N26" s="89"/>
      <c r="O26" s="89"/>
      <c r="P26" s="89"/>
      <c r="Q26" s="42"/>
      <c r="R26" s="119"/>
      <c r="S26" s="90"/>
      <c r="T26" s="90"/>
      <c r="U26" s="90"/>
      <c r="V26" s="90"/>
      <c r="W26" s="90"/>
      <c r="X26" s="90"/>
      <c r="Y26" s="120"/>
    </row>
    <row r="27" spans="1:27" x14ac:dyDescent="0.25">
      <c r="A27" s="42"/>
      <c r="K27" s="89"/>
      <c r="L27" s="89"/>
      <c r="M27" s="89"/>
      <c r="N27" s="89"/>
      <c r="O27" s="89"/>
      <c r="P27" s="89"/>
      <c r="Q27" s="42"/>
      <c r="R27" s="119"/>
      <c r="S27" s="90"/>
      <c r="T27" s="90"/>
      <c r="U27" s="90"/>
      <c r="V27" s="90"/>
      <c r="W27" s="90"/>
      <c r="X27" s="90"/>
      <c r="Y27" s="120"/>
    </row>
    <row r="28" spans="1:27" x14ac:dyDescent="0.25">
      <c r="A28" s="42"/>
      <c r="K28" s="89"/>
      <c r="L28" s="89"/>
      <c r="M28" s="89"/>
      <c r="N28" s="89"/>
      <c r="O28" s="89"/>
      <c r="P28" s="89"/>
      <c r="Q28" s="42"/>
      <c r="R28" s="119"/>
      <c r="S28" s="90"/>
      <c r="T28" s="90"/>
      <c r="U28" s="90"/>
      <c r="V28" s="90"/>
      <c r="W28" s="90"/>
      <c r="X28" s="90"/>
      <c r="Y28" s="120"/>
    </row>
    <row r="29" spans="1:27" x14ac:dyDescent="0.25">
      <c r="A29" s="42"/>
      <c r="K29" s="89"/>
      <c r="L29" s="89"/>
      <c r="M29" s="89"/>
      <c r="N29" s="89"/>
      <c r="O29" s="89"/>
      <c r="P29" s="89"/>
      <c r="Q29" s="42"/>
      <c r="R29" s="119"/>
      <c r="S29" s="90"/>
      <c r="T29" s="90"/>
      <c r="U29" s="90"/>
      <c r="V29" s="90"/>
      <c r="W29" s="90"/>
      <c r="X29" s="90"/>
      <c r="Y29" s="120"/>
    </row>
    <row r="30" spans="1:27" x14ac:dyDescent="0.25">
      <c r="A30" s="42"/>
      <c r="K30" s="89"/>
      <c r="L30" s="89"/>
      <c r="M30" s="89"/>
      <c r="N30" s="89"/>
      <c r="O30" s="89"/>
      <c r="P30" s="89"/>
      <c r="Q30" s="42"/>
      <c r="R30" s="119"/>
      <c r="S30" s="90"/>
      <c r="T30" s="90"/>
      <c r="U30" s="90"/>
      <c r="V30" s="90"/>
      <c r="W30" s="90"/>
      <c r="X30" s="90"/>
      <c r="Y30" s="120"/>
    </row>
    <row r="31" spans="1:27" x14ac:dyDescent="0.25">
      <c r="A31" s="42"/>
      <c r="K31" s="89"/>
      <c r="L31" s="89"/>
      <c r="M31" s="89"/>
      <c r="N31" s="89"/>
      <c r="O31" s="89"/>
      <c r="P31" s="89"/>
      <c r="Q31" s="42"/>
      <c r="R31" s="119"/>
      <c r="S31" s="90"/>
      <c r="T31" s="90"/>
      <c r="U31" s="90"/>
      <c r="V31" s="90"/>
      <c r="W31" s="90"/>
      <c r="X31" s="90"/>
      <c r="Y31" s="120"/>
    </row>
    <row r="32" spans="1:27" x14ac:dyDescent="0.25">
      <c r="A32" s="42"/>
      <c r="K32" s="89"/>
      <c r="L32" s="89"/>
      <c r="M32" s="89"/>
      <c r="N32" s="89"/>
      <c r="O32" s="89"/>
      <c r="P32" s="89"/>
      <c r="Q32" s="42"/>
      <c r="R32" s="119"/>
      <c r="S32" s="90"/>
      <c r="T32" s="90"/>
      <c r="U32" s="90"/>
      <c r="V32" s="90"/>
      <c r="W32" s="90"/>
      <c r="X32" s="90"/>
      <c r="Y32" s="120"/>
    </row>
    <row r="33" spans="1:25" x14ac:dyDescent="0.25">
      <c r="A33" s="42"/>
      <c r="K33" s="89"/>
      <c r="L33" s="89"/>
      <c r="M33" s="89"/>
      <c r="N33" s="89"/>
      <c r="O33" s="89"/>
      <c r="P33" s="89"/>
      <c r="Q33" s="42"/>
      <c r="R33" s="119"/>
      <c r="S33" s="90"/>
      <c r="T33" s="90"/>
      <c r="U33" s="90"/>
      <c r="V33" s="90"/>
      <c r="W33" s="90"/>
      <c r="X33" s="90"/>
      <c r="Y33" s="120"/>
    </row>
    <row r="34" spans="1:25" x14ac:dyDescent="0.25">
      <c r="A34" s="42"/>
      <c r="K34" s="89"/>
      <c r="L34" s="89"/>
      <c r="M34" s="89"/>
      <c r="N34" s="89"/>
      <c r="O34" s="89"/>
      <c r="P34" s="89"/>
      <c r="Q34" s="42"/>
      <c r="R34" s="119"/>
      <c r="S34" s="90"/>
      <c r="T34" s="90"/>
      <c r="U34" s="90"/>
      <c r="V34" s="90"/>
      <c r="W34" s="90"/>
      <c r="X34" s="90"/>
      <c r="Y34" s="120"/>
    </row>
    <row r="35" spans="1:25" hidden="1" x14ac:dyDescent="0.25">
      <c r="A35" s="42"/>
      <c r="K35" s="89"/>
      <c r="L35" s="89"/>
      <c r="M35" s="89"/>
      <c r="N35" s="89"/>
      <c r="O35" s="89"/>
      <c r="P35" s="89"/>
      <c r="Q35" s="42"/>
      <c r="R35" s="119"/>
      <c r="S35" s="90"/>
      <c r="T35" s="90"/>
      <c r="U35" s="90"/>
      <c r="V35" s="90"/>
      <c r="W35" s="90"/>
      <c r="X35" s="90"/>
      <c r="Y35" s="120"/>
    </row>
    <row r="36" spans="1:25" hidden="1" x14ac:dyDescent="0.25">
      <c r="A36" s="42"/>
      <c r="K36" s="89"/>
      <c r="L36" s="89"/>
      <c r="M36" s="89"/>
      <c r="N36" s="89"/>
      <c r="O36" s="89"/>
      <c r="P36" s="89"/>
      <c r="Q36" s="42"/>
      <c r="R36" s="119"/>
      <c r="S36" s="90"/>
      <c r="T36" s="90"/>
      <c r="U36" s="90"/>
      <c r="V36" s="90"/>
      <c r="W36" s="90"/>
      <c r="X36" s="90"/>
      <c r="Y36" s="120"/>
    </row>
    <row r="37" spans="1:25" hidden="1" x14ac:dyDescent="0.25">
      <c r="A37" s="42"/>
      <c r="B37" s="42"/>
      <c r="C37" s="42"/>
      <c r="D37" s="42"/>
      <c r="E37" s="42"/>
      <c r="F37" s="42"/>
      <c r="G37" s="42"/>
      <c r="H37" s="43"/>
      <c r="I37" s="43"/>
      <c r="J37" s="42"/>
      <c r="K37" s="64"/>
      <c r="L37" s="64"/>
      <c r="M37" s="64"/>
      <c r="N37" s="64"/>
      <c r="O37" s="64"/>
      <c r="P37" s="64"/>
      <c r="Q37" s="42"/>
      <c r="R37" s="120"/>
      <c r="S37" s="120"/>
      <c r="T37" s="120"/>
      <c r="U37" s="120"/>
      <c r="V37" s="120"/>
      <c r="W37" s="120"/>
      <c r="X37" s="120"/>
      <c r="Y37" s="120"/>
    </row>
    <row r="38" spans="1:25" hidden="1" x14ac:dyDescent="0.25">
      <c r="A38" s="42"/>
      <c r="B38" s="66" t="s">
        <v>37</v>
      </c>
      <c r="C38" s="66"/>
      <c r="D38" s="66"/>
      <c r="E38" s="42"/>
      <c r="F38" s="42"/>
      <c r="G38" s="42"/>
      <c r="H38" s="42"/>
      <c r="I38" s="42"/>
      <c r="J38" s="66" t="s">
        <v>37</v>
      </c>
      <c r="K38" s="66"/>
      <c r="L38" s="66"/>
      <c r="M38" s="42"/>
      <c r="N38" s="42"/>
      <c r="O38" s="42"/>
      <c r="P38" s="42"/>
      <c r="Q38" s="42"/>
      <c r="R38" s="121"/>
      <c r="S38" s="121"/>
      <c r="T38" s="121"/>
      <c r="U38" s="120"/>
      <c r="V38" s="120"/>
      <c r="W38" s="120"/>
      <c r="X38" s="120"/>
      <c r="Y38" s="120"/>
    </row>
    <row r="39" spans="1:25" hidden="1" x14ac:dyDescent="0.25">
      <c r="A39" s="42"/>
      <c r="B39" s="67" t="s">
        <v>87</v>
      </c>
      <c r="C39" s="68" t="s">
        <v>75</v>
      </c>
      <c r="D39" s="68" t="s">
        <v>76</v>
      </c>
      <c r="E39" s="68">
        <v>600</v>
      </c>
      <c r="F39" s="69">
        <v>2400</v>
      </c>
      <c r="G39" s="68" t="s">
        <v>88</v>
      </c>
      <c r="H39" s="68" t="s">
        <v>42</v>
      </c>
      <c r="I39" s="68">
        <v>1200</v>
      </c>
      <c r="J39" s="67" t="s">
        <v>87</v>
      </c>
      <c r="K39" s="68" t="s">
        <v>75</v>
      </c>
      <c r="L39" s="68" t="s">
        <v>76</v>
      </c>
      <c r="M39" s="68" t="s">
        <v>39</v>
      </c>
      <c r="N39" s="69" t="s">
        <v>40</v>
      </c>
      <c r="O39" s="68" t="s">
        <v>41</v>
      </c>
      <c r="P39" s="68" t="s">
        <v>42</v>
      </c>
      <c r="Q39" s="68" t="s">
        <v>78</v>
      </c>
      <c r="R39" s="122"/>
      <c r="S39" s="123"/>
      <c r="T39" s="123"/>
      <c r="U39" s="123"/>
      <c r="V39" s="124"/>
      <c r="W39" s="123"/>
      <c r="X39" s="123"/>
      <c r="Y39" s="123"/>
    </row>
    <row r="40" spans="1:25" hidden="1" x14ac:dyDescent="0.25">
      <c r="A40" s="42"/>
      <c r="B40" s="67" t="s">
        <v>89</v>
      </c>
      <c r="C40" s="67">
        <v>23.35</v>
      </c>
      <c r="D40" s="67">
        <v>23.35</v>
      </c>
      <c r="E40" s="70">
        <v>1.67</v>
      </c>
      <c r="F40" s="70">
        <v>1.68</v>
      </c>
      <c r="G40" s="70">
        <v>0.56000000000000005</v>
      </c>
      <c r="H40" s="70">
        <v>0.7</v>
      </c>
      <c r="I40" s="67"/>
      <c r="J40" s="67" t="s">
        <v>89</v>
      </c>
      <c r="K40" s="67">
        <v>23.35</v>
      </c>
      <c r="L40" s="67">
        <v>23.35</v>
      </c>
      <c r="M40" s="70">
        <v>0.84</v>
      </c>
      <c r="N40" s="70">
        <v>1.68</v>
      </c>
      <c r="O40" s="70">
        <v>0.84</v>
      </c>
      <c r="P40" s="70">
        <v>0.7</v>
      </c>
      <c r="Q40" s="70">
        <v>6.67</v>
      </c>
      <c r="R40" s="122"/>
      <c r="S40" s="122"/>
      <c r="T40" s="122"/>
      <c r="U40" s="125"/>
      <c r="V40" s="125"/>
      <c r="W40" s="125"/>
      <c r="X40" s="125"/>
      <c r="Y40" s="125"/>
    </row>
    <row r="41" spans="1:25" hidden="1" x14ac:dyDescent="0.25">
      <c r="A41" s="42"/>
      <c r="B41" s="67" t="s">
        <v>91</v>
      </c>
      <c r="C41" s="70">
        <v>18.350000000000001</v>
      </c>
      <c r="D41" s="70">
        <v>18.350000000000001</v>
      </c>
      <c r="E41" s="70">
        <v>1.67</v>
      </c>
      <c r="F41" s="70">
        <v>1.68</v>
      </c>
      <c r="G41" s="70">
        <v>0.56000000000000005</v>
      </c>
      <c r="H41" s="70">
        <v>0.7</v>
      </c>
      <c r="I41" s="67"/>
      <c r="J41" s="67" t="s">
        <v>91</v>
      </c>
      <c r="K41" s="70">
        <v>18.350000000000001</v>
      </c>
      <c r="L41" s="70">
        <v>18.350000000000001</v>
      </c>
      <c r="M41" s="70">
        <v>0.84</v>
      </c>
      <c r="N41" s="70">
        <v>1.68</v>
      </c>
      <c r="O41" s="70">
        <v>0.84</v>
      </c>
      <c r="P41" s="70">
        <v>0.7</v>
      </c>
      <c r="Q41" s="70">
        <v>6.67</v>
      </c>
      <c r="R41" s="122"/>
      <c r="S41" s="125"/>
      <c r="T41" s="122"/>
      <c r="U41" s="125"/>
      <c r="V41" s="125"/>
      <c r="W41" s="125"/>
      <c r="X41" s="125"/>
      <c r="Y41" s="125"/>
    </row>
    <row r="42" spans="1:25" hidden="1" x14ac:dyDescent="0.25">
      <c r="A42" s="42"/>
      <c r="B42" s="67" t="s">
        <v>93</v>
      </c>
      <c r="C42" s="70">
        <v>15</v>
      </c>
      <c r="D42" s="70">
        <v>15</v>
      </c>
      <c r="E42" s="70">
        <v>1.67</v>
      </c>
      <c r="F42" s="70">
        <v>1.68</v>
      </c>
      <c r="G42" s="70">
        <v>0.56000000000000005</v>
      </c>
      <c r="H42" s="70">
        <v>0.7</v>
      </c>
      <c r="I42" s="67"/>
      <c r="J42" s="67" t="s">
        <v>93</v>
      </c>
      <c r="K42" s="70">
        <v>15</v>
      </c>
      <c r="L42" s="70">
        <v>15</v>
      </c>
      <c r="M42" s="70">
        <v>0.84</v>
      </c>
      <c r="N42" s="70">
        <v>1.68</v>
      </c>
      <c r="O42" s="70">
        <v>0.84</v>
      </c>
      <c r="P42" s="70">
        <v>0.7</v>
      </c>
      <c r="Q42" s="70">
        <v>6.67</v>
      </c>
      <c r="R42" s="122"/>
      <c r="S42" s="125"/>
      <c r="T42" s="122"/>
      <c r="U42" s="125"/>
      <c r="V42" s="125"/>
      <c r="W42" s="125"/>
      <c r="X42" s="125"/>
      <c r="Y42" s="125"/>
    </row>
    <row r="43" spans="1:25" hidden="1" x14ac:dyDescent="0.25">
      <c r="A43" s="42"/>
      <c r="B43" s="67" t="s">
        <v>95</v>
      </c>
      <c r="C43" s="67">
        <v>11.68</v>
      </c>
      <c r="D43" s="67">
        <v>11.68</v>
      </c>
      <c r="E43" s="70">
        <v>1.67</v>
      </c>
      <c r="F43" s="70">
        <v>1.68</v>
      </c>
      <c r="G43" s="70">
        <v>0.56000000000000005</v>
      </c>
      <c r="H43" s="70">
        <v>0.7</v>
      </c>
      <c r="I43" s="67"/>
      <c r="J43" s="67" t="s">
        <v>95</v>
      </c>
      <c r="K43" s="67">
        <v>11.68</v>
      </c>
      <c r="L43" s="67">
        <v>11.68</v>
      </c>
      <c r="M43" s="70">
        <v>0.84</v>
      </c>
      <c r="N43" s="70">
        <v>1.68</v>
      </c>
      <c r="O43" s="70">
        <v>0.84</v>
      </c>
      <c r="P43" s="70">
        <v>0.7</v>
      </c>
      <c r="Q43" s="70">
        <v>6.67</v>
      </c>
      <c r="R43" s="122"/>
      <c r="S43" s="122"/>
      <c r="T43" s="122"/>
      <c r="U43" s="125"/>
      <c r="V43" s="125"/>
      <c r="W43" s="125"/>
      <c r="X43" s="125"/>
      <c r="Y43" s="125"/>
    </row>
    <row r="44" spans="1:25" hidden="1" x14ac:dyDescent="0.25">
      <c r="A44" s="42"/>
      <c r="B44" s="67" t="s">
        <v>97</v>
      </c>
      <c r="C44" s="67">
        <v>10</v>
      </c>
      <c r="D44" s="67">
        <v>10</v>
      </c>
      <c r="E44" s="70">
        <v>0.84</v>
      </c>
      <c r="F44" s="70">
        <v>0.84</v>
      </c>
      <c r="G44" s="70">
        <v>0.28000000000000003</v>
      </c>
      <c r="H44" s="70">
        <v>0.7</v>
      </c>
      <c r="I44" s="67">
        <v>1.67</v>
      </c>
      <c r="J44" s="67" t="s">
        <v>97</v>
      </c>
      <c r="K44" s="67">
        <v>10</v>
      </c>
      <c r="L44" s="67">
        <v>10</v>
      </c>
      <c r="M44" s="70">
        <v>0.84</v>
      </c>
      <c r="N44" s="70">
        <v>1.68</v>
      </c>
      <c r="O44" s="70">
        <v>0.84</v>
      </c>
      <c r="P44" s="70">
        <v>0.7</v>
      </c>
      <c r="Q44" s="70">
        <v>6.67</v>
      </c>
      <c r="R44" s="122"/>
      <c r="S44" s="122"/>
      <c r="T44" s="122"/>
      <c r="U44" s="125"/>
      <c r="V44" s="125"/>
      <c r="W44" s="125"/>
      <c r="X44" s="125"/>
      <c r="Y44" s="125"/>
    </row>
    <row r="45" spans="1:25" hidden="1" x14ac:dyDescent="0.25">
      <c r="A45" s="42"/>
      <c r="B45" s="67" t="s">
        <v>73</v>
      </c>
      <c r="C45" s="67">
        <v>8.34</v>
      </c>
      <c r="D45" s="67">
        <v>8.34</v>
      </c>
      <c r="E45" s="70">
        <v>0.84</v>
      </c>
      <c r="F45" s="70">
        <v>0.84</v>
      </c>
      <c r="G45" s="70">
        <v>0.28000000000000003</v>
      </c>
      <c r="H45" s="70">
        <v>0.7</v>
      </c>
      <c r="I45" s="67">
        <v>1.67</v>
      </c>
      <c r="J45" s="67" t="s">
        <v>73</v>
      </c>
      <c r="K45" s="67">
        <v>8.34</v>
      </c>
      <c r="L45" s="67">
        <v>8.34</v>
      </c>
      <c r="M45" s="70">
        <v>0.84</v>
      </c>
      <c r="N45" s="70">
        <v>1.68</v>
      </c>
      <c r="O45" s="70">
        <v>0.84</v>
      </c>
      <c r="P45" s="70">
        <v>0.7</v>
      </c>
      <c r="Q45" s="70">
        <v>6.67</v>
      </c>
      <c r="R45" s="122"/>
      <c r="S45" s="122"/>
      <c r="T45" s="122"/>
      <c r="U45" s="125"/>
      <c r="V45" s="125"/>
      <c r="W45" s="125"/>
      <c r="X45" s="125"/>
      <c r="Y45" s="125"/>
    </row>
    <row r="46" spans="1:25" hidden="1" x14ac:dyDescent="0.25">
      <c r="A46" s="42"/>
      <c r="B46" s="67" t="s">
        <v>99</v>
      </c>
      <c r="C46" s="67">
        <v>6.67</v>
      </c>
      <c r="D46" s="67">
        <v>6.67</v>
      </c>
      <c r="E46" s="70">
        <v>0.84</v>
      </c>
      <c r="F46" s="70">
        <v>0.84</v>
      </c>
      <c r="G46" s="70">
        <v>0.28000000000000003</v>
      </c>
      <c r="H46" s="70">
        <v>0.7</v>
      </c>
      <c r="I46" s="67">
        <v>1.67</v>
      </c>
      <c r="J46" s="67" t="s">
        <v>99</v>
      </c>
      <c r="K46" s="67">
        <v>6.67</v>
      </c>
      <c r="L46" s="67">
        <v>6.67</v>
      </c>
      <c r="M46" s="70">
        <v>0.84</v>
      </c>
      <c r="N46" s="70">
        <v>1.69</v>
      </c>
      <c r="O46" s="70">
        <v>0.84</v>
      </c>
      <c r="P46" s="70">
        <v>0.7</v>
      </c>
      <c r="Q46" s="70">
        <v>6.67</v>
      </c>
      <c r="R46" s="122"/>
      <c r="S46" s="122"/>
      <c r="T46" s="122"/>
      <c r="U46" s="125"/>
      <c r="V46" s="125"/>
      <c r="W46" s="125"/>
      <c r="X46" s="125"/>
      <c r="Y46" s="125"/>
    </row>
    <row r="47" spans="1:25" hidden="1" x14ac:dyDescent="0.25">
      <c r="A47" s="42"/>
      <c r="B47" s="67" t="s">
        <v>101</v>
      </c>
      <c r="C47" s="67">
        <v>5</v>
      </c>
      <c r="D47" s="67">
        <v>5</v>
      </c>
      <c r="E47" s="70">
        <v>0.84</v>
      </c>
      <c r="F47" s="70">
        <v>0.84</v>
      </c>
      <c r="G47" s="70">
        <v>0.28000000000000003</v>
      </c>
      <c r="H47" s="70">
        <v>0.7</v>
      </c>
      <c r="I47" s="67">
        <v>1.67</v>
      </c>
      <c r="J47" s="67" t="s">
        <v>101</v>
      </c>
      <c r="K47" s="67">
        <v>5</v>
      </c>
      <c r="L47" s="67">
        <v>5</v>
      </c>
      <c r="M47" s="70">
        <v>0.84</v>
      </c>
      <c r="N47" s="70">
        <v>1.68</v>
      </c>
      <c r="O47" s="70">
        <v>0.84</v>
      </c>
      <c r="P47" s="70">
        <v>0.7</v>
      </c>
      <c r="Q47" s="70">
        <v>6.67</v>
      </c>
      <c r="R47" s="122"/>
      <c r="S47" s="122"/>
      <c r="T47" s="122"/>
      <c r="U47" s="125"/>
      <c r="V47" s="125"/>
      <c r="W47" s="125"/>
      <c r="X47" s="125"/>
      <c r="Y47" s="125"/>
    </row>
    <row r="48" spans="1:25" hidden="1" x14ac:dyDescent="0.25">
      <c r="A48" s="42"/>
      <c r="B48" s="67" t="s">
        <v>103</v>
      </c>
      <c r="C48" s="67">
        <v>3.34</v>
      </c>
      <c r="D48" s="67">
        <v>3.34</v>
      </c>
      <c r="E48" s="70">
        <v>0.84</v>
      </c>
      <c r="F48" s="70">
        <v>0.84</v>
      </c>
      <c r="G48" s="70">
        <v>0.28000000000000003</v>
      </c>
      <c r="H48" s="70">
        <v>0.7</v>
      </c>
      <c r="I48" s="67">
        <v>1.67</v>
      </c>
      <c r="J48" s="67" t="s">
        <v>103</v>
      </c>
      <c r="K48" s="67">
        <v>3.34</v>
      </c>
      <c r="L48" s="67">
        <v>3.34</v>
      </c>
      <c r="M48" s="70">
        <v>0.84</v>
      </c>
      <c r="N48" s="70">
        <v>1.68</v>
      </c>
      <c r="O48" s="70">
        <v>0.84</v>
      </c>
      <c r="P48" s="70">
        <v>0.7</v>
      </c>
      <c r="Q48" s="70">
        <v>6.67</v>
      </c>
      <c r="R48" s="122"/>
      <c r="S48" s="122"/>
      <c r="T48" s="122"/>
      <c r="U48" s="125"/>
      <c r="V48" s="125"/>
      <c r="W48" s="125"/>
      <c r="X48" s="125"/>
      <c r="Y48" s="125"/>
    </row>
    <row r="49" spans="1:25" hidden="1" x14ac:dyDescent="0.25">
      <c r="A49" s="42"/>
      <c r="B49" s="71"/>
      <c r="C49" s="71"/>
      <c r="D49" s="71"/>
      <c r="E49" s="72"/>
      <c r="F49" s="72"/>
      <c r="G49" s="72"/>
      <c r="H49" s="72"/>
      <c r="I49" s="42"/>
      <c r="J49" s="71"/>
      <c r="K49" s="71"/>
      <c r="L49" s="71"/>
      <c r="M49" s="72"/>
      <c r="N49" s="72"/>
      <c r="O49" s="72"/>
      <c r="P49" s="72"/>
      <c r="Q49" s="42"/>
      <c r="R49" s="120"/>
      <c r="S49" s="120"/>
      <c r="T49" s="120"/>
      <c r="U49" s="120"/>
      <c r="V49" s="120"/>
      <c r="W49" s="120"/>
      <c r="X49" s="120"/>
      <c r="Y49" s="120"/>
    </row>
    <row r="50" spans="1:25" hidden="1" x14ac:dyDescent="0.25">
      <c r="A50" s="42"/>
      <c r="B50" s="66" t="s">
        <v>65</v>
      </c>
      <c r="C50" s="66"/>
      <c r="D50" s="66"/>
      <c r="E50" s="42"/>
      <c r="F50" s="42"/>
      <c r="G50" s="42"/>
      <c r="H50" s="42"/>
      <c r="I50" s="42"/>
      <c r="J50" s="66" t="s">
        <v>65</v>
      </c>
      <c r="K50" s="66"/>
      <c r="L50" s="66"/>
      <c r="M50" s="42"/>
      <c r="N50" s="42"/>
      <c r="O50" s="42"/>
      <c r="P50" s="42"/>
      <c r="Q50" s="42"/>
      <c r="R50" s="121"/>
      <c r="S50" s="121"/>
      <c r="T50" s="121"/>
      <c r="U50" s="120"/>
      <c r="V50" s="120"/>
      <c r="W50" s="120"/>
      <c r="X50" s="120"/>
      <c r="Y50" s="120"/>
    </row>
    <row r="51" spans="1:25" hidden="1" x14ac:dyDescent="0.25">
      <c r="A51" s="42"/>
      <c r="B51" s="73" t="s">
        <v>48</v>
      </c>
      <c r="C51" s="73" t="s">
        <v>75</v>
      </c>
      <c r="D51" s="73" t="s">
        <v>76</v>
      </c>
      <c r="E51" s="73">
        <v>600</v>
      </c>
      <c r="F51" s="45">
        <v>2400</v>
      </c>
      <c r="G51" s="73" t="s">
        <v>88</v>
      </c>
      <c r="H51" s="73" t="s">
        <v>42</v>
      </c>
      <c r="I51" s="73">
        <v>1200</v>
      </c>
      <c r="J51" s="68" t="s">
        <v>48</v>
      </c>
      <c r="K51" s="68" t="s">
        <v>75</v>
      </c>
      <c r="L51" s="68" t="s">
        <v>76</v>
      </c>
      <c r="M51" s="68" t="s">
        <v>39</v>
      </c>
      <c r="N51" s="69" t="s">
        <v>40</v>
      </c>
      <c r="O51" s="68" t="s">
        <v>41</v>
      </c>
      <c r="P51" s="68" t="s">
        <v>42</v>
      </c>
      <c r="Q51" s="68" t="s">
        <v>78</v>
      </c>
      <c r="R51" s="123"/>
      <c r="S51" s="123"/>
      <c r="T51" s="123"/>
      <c r="U51" s="123"/>
      <c r="V51" s="124"/>
      <c r="W51" s="123"/>
      <c r="X51" s="123"/>
      <c r="Y51" s="123"/>
    </row>
    <row r="52" spans="1:25" hidden="1" x14ac:dyDescent="0.25">
      <c r="A52" s="42"/>
      <c r="B52" s="74">
        <v>27</v>
      </c>
      <c r="C52" s="75">
        <v>308</v>
      </c>
      <c r="D52" s="75">
        <v>308</v>
      </c>
      <c r="E52" s="75">
        <v>308</v>
      </c>
      <c r="F52" s="75">
        <v>10</v>
      </c>
      <c r="G52" s="75"/>
      <c r="H52" s="75">
        <v>100</v>
      </c>
      <c r="I52" s="75">
        <v>156</v>
      </c>
      <c r="J52" s="67">
        <v>38</v>
      </c>
      <c r="K52" s="70">
        <v>150</v>
      </c>
      <c r="L52" s="70">
        <v>150</v>
      </c>
      <c r="M52" s="70">
        <v>92</v>
      </c>
      <c r="N52" s="70">
        <v>92</v>
      </c>
      <c r="O52" s="70">
        <v>30</v>
      </c>
      <c r="P52" s="70">
        <v>100</v>
      </c>
      <c r="Q52" s="70">
        <v>270</v>
      </c>
      <c r="R52" s="122"/>
      <c r="S52" s="125"/>
      <c r="T52" s="125"/>
      <c r="U52" s="125"/>
      <c r="V52" s="125"/>
      <c r="W52" s="125"/>
      <c r="X52" s="125"/>
      <c r="Y52" s="125"/>
    </row>
    <row r="53" spans="1:25" hidden="1" x14ac:dyDescent="0.25">
      <c r="A53" s="42"/>
      <c r="B53" s="74">
        <v>40</v>
      </c>
      <c r="C53" s="75">
        <v>120</v>
      </c>
      <c r="D53" s="75">
        <v>120</v>
      </c>
      <c r="E53" s="75">
        <v>120</v>
      </c>
      <c r="F53" s="75">
        <v>10</v>
      </c>
      <c r="G53" s="75"/>
      <c r="H53" s="75">
        <v>100</v>
      </c>
      <c r="I53" s="75">
        <v>60</v>
      </c>
      <c r="J53" s="76"/>
      <c r="K53" s="42"/>
      <c r="L53" s="42"/>
      <c r="M53" s="42"/>
      <c r="N53" s="42"/>
      <c r="O53" s="42"/>
      <c r="P53" s="42"/>
      <c r="Q53" s="42"/>
      <c r="R53" s="126"/>
      <c r="S53" s="120"/>
      <c r="T53" s="120"/>
      <c r="U53" s="120"/>
      <c r="V53" s="120"/>
      <c r="W53" s="120"/>
      <c r="X53" s="120"/>
      <c r="Y53" s="120"/>
    </row>
    <row r="54" spans="1:25" hidden="1" x14ac:dyDescent="0.25">
      <c r="A54" s="42"/>
      <c r="B54" s="7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120"/>
      <c r="S54" s="120"/>
      <c r="T54" s="120"/>
      <c r="U54" s="120"/>
      <c r="V54" s="120"/>
      <c r="W54" s="120"/>
      <c r="X54" s="120"/>
      <c r="Y54" s="120"/>
    </row>
    <row r="55" spans="1:25" hidden="1" x14ac:dyDescent="0.25">
      <c r="A55" s="42"/>
      <c r="B55" s="66" t="s">
        <v>46</v>
      </c>
      <c r="C55" s="66"/>
      <c r="D55" s="66"/>
      <c r="E55" s="66"/>
      <c r="F55" s="42"/>
      <c r="G55" s="66"/>
      <c r="H55" s="66"/>
      <c r="I55" s="42"/>
      <c r="J55" s="66" t="s">
        <v>46</v>
      </c>
      <c r="K55" s="66"/>
      <c r="L55" s="66"/>
      <c r="M55" s="66"/>
      <c r="N55" s="42"/>
      <c r="O55" s="66"/>
      <c r="P55" s="66"/>
      <c r="Q55" s="42"/>
      <c r="R55" s="121"/>
      <c r="S55" s="121"/>
      <c r="T55" s="121"/>
      <c r="U55" s="121"/>
      <c r="V55" s="120"/>
      <c r="W55" s="121"/>
      <c r="X55" s="121"/>
      <c r="Y55" s="120"/>
    </row>
    <row r="56" spans="1:25" hidden="1" x14ac:dyDescent="0.25">
      <c r="A56" s="42"/>
      <c r="B56" s="68" t="s">
        <v>48</v>
      </c>
      <c r="C56" s="68" t="s">
        <v>75</v>
      </c>
      <c r="D56" s="68" t="s">
        <v>76</v>
      </c>
      <c r="E56" s="68">
        <v>600</v>
      </c>
      <c r="F56" s="69">
        <v>2400</v>
      </c>
      <c r="G56" s="68" t="s">
        <v>88</v>
      </c>
      <c r="H56" s="68" t="s">
        <v>42</v>
      </c>
      <c r="I56" s="68">
        <v>1200</v>
      </c>
      <c r="J56" s="68" t="s">
        <v>48</v>
      </c>
      <c r="K56" s="68" t="s">
        <v>75</v>
      </c>
      <c r="L56" s="68" t="s">
        <v>76</v>
      </c>
      <c r="M56" s="68" t="s">
        <v>39</v>
      </c>
      <c r="N56" s="69" t="s">
        <v>40</v>
      </c>
      <c r="O56" s="68" t="s">
        <v>41</v>
      </c>
      <c r="P56" s="68" t="s">
        <v>42</v>
      </c>
      <c r="Q56" s="68" t="s">
        <v>78</v>
      </c>
      <c r="R56" s="123"/>
      <c r="S56" s="123"/>
      <c r="T56" s="123"/>
      <c r="U56" s="123"/>
      <c r="V56" s="124"/>
      <c r="W56" s="123"/>
      <c r="X56" s="123"/>
      <c r="Y56" s="123"/>
    </row>
    <row r="57" spans="1:25" hidden="1" x14ac:dyDescent="0.25">
      <c r="A57" s="42"/>
      <c r="B57" s="67">
        <v>27</v>
      </c>
      <c r="C57" s="70">
        <v>22.2</v>
      </c>
      <c r="D57" s="70">
        <v>22.2</v>
      </c>
      <c r="E57" s="70">
        <v>22.2</v>
      </c>
      <c r="F57" s="70">
        <v>5</v>
      </c>
      <c r="G57" s="70"/>
      <c r="H57" s="70">
        <v>2.6</v>
      </c>
      <c r="I57" s="70">
        <v>23.4</v>
      </c>
      <c r="J57" s="67">
        <v>38</v>
      </c>
      <c r="K57" s="70">
        <v>16.3</v>
      </c>
      <c r="L57" s="70">
        <v>16.3</v>
      </c>
      <c r="M57" s="70">
        <v>10.1</v>
      </c>
      <c r="N57" s="70">
        <v>10.1</v>
      </c>
      <c r="O57" s="70">
        <v>22.46</v>
      </c>
      <c r="P57" s="70">
        <v>2.6</v>
      </c>
      <c r="Q57" s="70">
        <v>13.2</v>
      </c>
      <c r="R57" s="122"/>
      <c r="S57" s="125"/>
      <c r="T57" s="125"/>
      <c r="U57" s="125"/>
      <c r="V57" s="125"/>
      <c r="W57" s="125"/>
      <c r="X57" s="125"/>
      <c r="Y57" s="125"/>
    </row>
    <row r="58" spans="1:25" hidden="1" x14ac:dyDescent="0.25">
      <c r="A58" s="42"/>
      <c r="B58" s="67">
        <v>40</v>
      </c>
      <c r="C58" s="70">
        <v>12.5</v>
      </c>
      <c r="D58" s="70">
        <v>12.5</v>
      </c>
      <c r="E58" s="70">
        <v>12.5</v>
      </c>
      <c r="F58" s="70">
        <v>5.26</v>
      </c>
      <c r="G58" s="70"/>
      <c r="H58" s="70">
        <v>2.6</v>
      </c>
      <c r="I58" s="70">
        <v>12.4</v>
      </c>
      <c r="J58" s="42"/>
      <c r="K58" s="42"/>
      <c r="L58" s="42"/>
      <c r="M58" s="42"/>
      <c r="N58" s="42"/>
      <c r="O58" s="42"/>
      <c r="P58" s="42"/>
      <c r="Q58" s="42"/>
      <c r="R58" s="120"/>
      <c r="S58" s="120"/>
      <c r="T58" s="120"/>
      <c r="U58" s="120"/>
      <c r="V58" s="120"/>
      <c r="W58" s="120"/>
      <c r="X58" s="120"/>
      <c r="Y58" s="120"/>
    </row>
    <row r="59" spans="1:25" hidden="1" x14ac:dyDescent="0.25">
      <c r="A59" s="42"/>
      <c r="B59" s="71"/>
      <c r="C59" s="72"/>
      <c r="D59" s="72"/>
      <c r="E59" s="72"/>
      <c r="F59" s="72"/>
      <c r="G59" s="77"/>
      <c r="H59" s="77"/>
      <c r="I59" s="72"/>
      <c r="J59" s="42"/>
      <c r="K59" s="42"/>
      <c r="L59" s="42"/>
      <c r="M59" s="42"/>
      <c r="N59" s="42"/>
      <c r="O59" s="42"/>
      <c r="P59" s="42"/>
      <c r="Q59" s="42"/>
      <c r="R59" s="120"/>
      <c r="S59" s="120"/>
      <c r="T59" s="120"/>
      <c r="U59" s="120"/>
      <c r="V59" s="120"/>
      <c r="W59" s="120"/>
      <c r="X59" s="120"/>
      <c r="Y59" s="120"/>
    </row>
    <row r="60" spans="1:25" hidden="1" x14ac:dyDescent="0.25">
      <c r="A60" s="42"/>
      <c r="B60" s="66" t="s">
        <v>47</v>
      </c>
      <c r="C60" s="66"/>
      <c r="D60" s="66"/>
      <c r="E60" s="66"/>
      <c r="F60" s="42"/>
      <c r="G60" s="66"/>
      <c r="H60" s="66"/>
      <c r="I60" s="42"/>
      <c r="J60" s="66" t="s">
        <v>47</v>
      </c>
      <c r="K60" s="66"/>
      <c r="L60" s="66"/>
      <c r="M60" s="66"/>
      <c r="N60" s="42"/>
      <c r="O60" s="66"/>
      <c r="P60" s="66"/>
      <c r="Q60" s="42"/>
      <c r="R60" s="121"/>
      <c r="S60" s="121"/>
      <c r="T60" s="121"/>
      <c r="U60" s="121"/>
      <c r="V60" s="120"/>
      <c r="W60" s="121"/>
      <c r="X60" s="121"/>
      <c r="Y60" s="120"/>
    </row>
    <row r="61" spans="1:25" hidden="1" x14ac:dyDescent="0.25">
      <c r="A61" s="42"/>
      <c r="B61" s="68" t="s">
        <v>48</v>
      </c>
      <c r="C61" s="68" t="s">
        <v>75</v>
      </c>
      <c r="D61" s="68" t="s">
        <v>76</v>
      </c>
      <c r="E61" s="68">
        <v>600</v>
      </c>
      <c r="F61" s="69">
        <v>2400</v>
      </c>
      <c r="G61" s="68" t="s">
        <v>88</v>
      </c>
      <c r="H61" s="68" t="s">
        <v>42</v>
      </c>
      <c r="I61" s="68">
        <v>1200</v>
      </c>
      <c r="J61" s="68" t="s">
        <v>48</v>
      </c>
      <c r="K61" s="68" t="s">
        <v>75</v>
      </c>
      <c r="L61" s="68" t="s">
        <v>76</v>
      </c>
      <c r="M61" s="68" t="s">
        <v>39</v>
      </c>
      <c r="N61" s="69" t="s">
        <v>40</v>
      </c>
      <c r="O61" s="68" t="s">
        <v>41</v>
      </c>
      <c r="P61" s="68" t="s">
        <v>42</v>
      </c>
      <c r="Q61" s="68" t="s">
        <v>78</v>
      </c>
      <c r="R61" s="123"/>
      <c r="S61" s="123"/>
      <c r="T61" s="123"/>
      <c r="U61" s="123"/>
      <c r="V61" s="124"/>
      <c r="W61" s="123"/>
      <c r="X61" s="123"/>
      <c r="Y61" s="123"/>
    </row>
    <row r="62" spans="1:25" hidden="1" x14ac:dyDescent="0.25">
      <c r="A62" s="42"/>
      <c r="B62" s="67">
        <v>27</v>
      </c>
      <c r="C62" s="70">
        <v>0.03</v>
      </c>
      <c r="D62" s="70">
        <v>0.03</v>
      </c>
      <c r="E62" s="70">
        <v>0.03</v>
      </c>
      <c r="F62" s="70">
        <v>0.03</v>
      </c>
      <c r="G62" s="70"/>
      <c r="H62" s="70"/>
      <c r="I62" s="70">
        <v>0.02</v>
      </c>
      <c r="J62" s="67">
        <v>38</v>
      </c>
      <c r="K62" s="70"/>
      <c r="L62" s="70"/>
      <c r="M62" s="70"/>
      <c r="N62" s="70"/>
      <c r="O62" s="70"/>
      <c r="P62" s="70"/>
      <c r="Q62" s="70"/>
      <c r="R62" s="122"/>
      <c r="S62" s="125"/>
      <c r="T62" s="125"/>
      <c r="U62" s="125"/>
      <c r="V62" s="125"/>
      <c r="W62" s="125"/>
      <c r="X62" s="125"/>
      <c r="Y62" s="125"/>
    </row>
    <row r="63" spans="1:25" hidden="1" x14ac:dyDescent="0.25">
      <c r="A63" s="42"/>
      <c r="B63" s="67">
        <v>40</v>
      </c>
      <c r="C63" s="70">
        <v>0.02</v>
      </c>
      <c r="D63" s="70">
        <v>0.02</v>
      </c>
      <c r="E63" s="70">
        <v>0.02</v>
      </c>
      <c r="F63" s="70">
        <v>0.03</v>
      </c>
      <c r="G63" s="70"/>
      <c r="H63" s="70"/>
      <c r="I63" s="70">
        <v>0.02</v>
      </c>
      <c r="J63" s="42"/>
      <c r="K63" s="42"/>
      <c r="L63" s="42"/>
      <c r="M63" s="42"/>
      <c r="N63" s="42"/>
      <c r="O63" s="42"/>
      <c r="P63" s="42"/>
      <c r="Q63" s="42"/>
      <c r="R63" s="120"/>
      <c r="S63" s="120"/>
      <c r="T63" s="120"/>
      <c r="U63" s="120"/>
      <c r="V63" s="120"/>
      <c r="W63" s="120"/>
      <c r="X63" s="120"/>
      <c r="Y63" s="120"/>
    </row>
    <row r="64" spans="1:25" hidden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120"/>
      <c r="S64" s="120"/>
      <c r="T64" s="120"/>
      <c r="U64" s="120"/>
      <c r="V64" s="120"/>
      <c r="W64" s="120"/>
      <c r="X64" s="120"/>
      <c r="Y64" s="120"/>
    </row>
    <row r="65" spans="1:25" hidden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spans="1:25" hidden="1" x14ac:dyDescent="0.25">
      <c r="A66" s="42"/>
      <c r="B66" s="66" t="s">
        <v>105</v>
      </c>
      <c r="C66" s="66"/>
      <c r="D66" s="66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</row>
    <row r="67" spans="1:25" hidden="1" x14ac:dyDescent="0.25">
      <c r="A67" s="42"/>
      <c r="B67" s="73" t="s">
        <v>48</v>
      </c>
      <c r="C67" s="73" t="s">
        <v>75</v>
      </c>
      <c r="D67" s="73" t="s">
        <v>76</v>
      </c>
      <c r="E67" s="73">
        <v>600</v>
      </c>
      <c r="F67" s="45">
        <v>2400</v>
      </c>
      <c r="G67" s="73" t="s">
        <v>88</v>
      </c>
      <c r="H67" s="73" t="s">
        <v>42</v>
      </c>
      <c r="I67" s="73">
        <v>1200</v>
      </c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</row>
    <row r="68" spans="1:25" hidden="1" x14ac:dyDescent="0.25">
      <c r="A68" s="42"/>
      <c r="B68" s="74">
        <v>27</v>
      </c>
      <c r="C68" s="75">
        <v>184.8</v>
      </c>
      <c r="D68" s="75">
        <v>184.8</v>
      </c>
      <c r="E68" s="75">
        <v>184.8</v>
      </c>
      <c r="F68" s="75">
        <v>24</v>
      </c>
      <c r="G68" s="75"/>
      <c r="H68" s="75"/>
      <c r="I68" s="75">
        <v>187.2</v>
      </c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</row>
    <row r="69" spans="1:25" hidden="1" x14ac:dyDescent="0.25">
      <c r="A69" s="42"/>
      <c r="B69" s="74">
        <v>40</v>
      </c>
      <c r="C69" s="75">
        <v>72</v>
      </c>
      <c r="D69" s="75">
        <v>72</v>
      </c>
      <c r="E69" s="75">
        <v>72</v>
      </c>
      <c r="F69" s="75">
        <v>24</v>
      </c>
      <c r="G69" s="75"/>
      <c r="H69" s="75"/>
      <c r="I69" s="75">
        <v>72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</row>
  </sheetData>
  <sheetProtection algorithmName="SHA-512" hashValue="fxGplHETyBiJNlYbZ8VxUy4NnJX5r9tP5wH6981Rt4CwNopcZjzdHnxwBA7Tq6J/OX9lTxK42ndfhiGCYLlCoA==" saltValue="WVtDR48PbsuI8Iak3PTDXQ==" spinCount="100000" sheet="1" objects="1" scenarios="1"/>
  <mergeCells count="8">
    <mergeCell ref="R5:S5"/>
    <mergeCell ref="C9:E9"/>
    <mergeCell ref="K9:M9"/>
    <mergeCell ref="S9:U9"/>
    <mergeCell ref="B9:B10"/>
    <mergeCell ref="J9:J10"/>
    <mergeCell ref="R9:R10"/>
    <mergeCell ref="J5:K5"/>
  </mergeCells>
  <conditionalFormatting sqref="C14">
    <cfRule type="expression" dxfId="4" priority="1">
      <formula>IF($C$6="86х86",1,0)</formula>
    </cfRule>
    <cfRule type="expression" dxfId="3" priority="2">
      <formula>IF($C$6="200х200",1,0)</formula>
    </cfRule>
    <cfRule type="expression" dxfId="2" priority="3">
      <formula>IF($C$6="120х120",1,0)</formula>
    </cfRule>
    <cfRule type="expression" dxfId="1" priority="4">
      <formula>IF($C$6="100х100",1,0)</formula>
    </cfRule>
    <cfRule type="expression" dxfId="0" priority="5">
      <formula>IF($C$6="150х150",1,0)</formula>
    </cfRule>
  </conditionalFormatting>
  <dataValidations count="4">
    <dataValidation type="list" allowBlank="1" showInputMessage="1" showErrorMessage="1" sqref="C5" xr:uid="{00000000-0002-0000-0400-000000000000}">
      <formula1>"27,40"</formula1>
    </dataValidation>
    <dataValidation type="list" allowBlank="1" showInputMessage="1" showErrorMessage="1" sqref="C6" xr:uid="{00000000-0002-0000-0400-000001000000}">
      <formula1>ячейка</formula1>
    </dataValidation>
    <dataValidation type="list" allowBlank="1" showInputMessage="1" showErrorMessage="1" sqref="K6" xr:uid="{00000000-0002-0000-0400-000002000000}">
      <formula1>$B$40:$B$48</formula1>
    </dataValidation>
    <dataValidation type="list" allowBlank="1" showInputMessage="1" showErrorMessage="1" sqref="S6" xr:uid="{00000000-0002-0000-0400-000003000000}">
      <formula1>$R$40:$R$48</formula1>
    </dataValidation>
  </dataValidation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MK49"/>
  <sheetViews>
    <sheetView showGridLines="0" zoomScaleNormal="100" workbookViewId="0"/>
  </sheetViews>
  <sheetFormatPr defaultColWidth="0" defaultRowHeight="15" zeroHeight="1" x14ac:dyDescent="0.25"/>
  <cols>
    <col min="1" max="1" width="2.85546875" style="1" customWidth="1"/>
    <col min="2" max="2" width="20.5703125" style="1" customWidth="1"/>
    <col min="3" max="3" width="9.140625" style="1" customWidth="1"/>
    <col min="4" max="4" width="7.5703125" style="1" customWidth="1"/>
    <col min="5" max="5" width="7.7109375" style="1" customWidth="1"/>
    <col min="6" max="6" width="10.7109375" style="1" customWidth="1"/>
    <col min="7" max="7" width="8.42578125" style="1" customWidth="1"/>
    <col min="8" max="8" width="4.28515625" style="1" customWidth="1"/>
    <col min="9" max="9" width="10.5703125" style="1" hidden="1" customWidth="1"/>
    <col min="10" max="1025" width="9.140625" style="1" hidden="1" customWidth="1"/>
    <col min="1026" max="16384" width="9.140625" hidden="1"/>
  </cols>
  <sheetData>
    <row r="1" spans="2:8" ht="24" customHeight="1" x14ac:dyDescent="0.25"/>
    <row r="2" spans="2:8" ht="24" customHeight="1" x14ac:dyDescent="0.25"/>
    <row r="3" spans="2:8" ht="15.75" x14ac:dyDescent="0.25">
      <c r="B3" s="2" t="s">
        <v>10</v>
      </c>
      <c r="F3" s="3"/>
    </row>
    <row r="4" spans="2:8" x14ac:dyDescent="0.25"/>
    <row r="5" spans="2:8" x14ac:dyDescent="0.25">
      <c r="B5" s="301" t="s">
        <v>107</v>
      </c>
      <c r="C5" s="301"/>
      <c r="D5" s="4"/>
      <c r="E5" s="4"/>
      <c r="F5" s="5"/>
      <c r="H5" s="5"/>
    </row>
    <row r="6" spans="2:8" x14ac:dyDescent="0.25">
      <c r="B6" s="6" t="s">
        <v>108</v>
      </c>
      <c r="C6" s="7">
        <v>100</v>
      </c>
      <c r="D6" s="4" t="s">
        <v>13</v>
      </c>
      <c r="F6" s="5"/>
      <c r="H6" s="5"/>
    </row>
    <row r="7" spans="2:8" x14ac:dyDescent="0.25">
      <c r="B7" s="6" t="s">
        <v>109</v>
      </c>
      <c r="C7" s="7">
        <v>3</v>
      </c>
      <c r="D7" s="4" t="s">
        <v>13</v>
      </c>
      <c r="F7" s="8"/>
      <c r="H7" s="8"/>
    </row>
    <row r="8" spans="2:8" x14ac:dyDescent="0.25">
      <c r="B8" s="6" t="s">
        <v>110</v>
      </c>
      <c r="C8" s="7" t="s">
        <v>146</v>
      </c>
      <c r="D8" s="4" t="s">
        <v>13</v>
      </c>
      <c r="F8" s="8"/>
      <c r="H8" s="8"/>
    </row>
    <row r="9" spans="2:8" x14ac:dyDescent="0.25">
      <c r="B9" s="292" t="s">
        <v>147</v>
      </c>
      <c r="C9" s="9">
        <v>500</v>
      </c>
      <c r="D9" s="10" t="s">
        <v>15</v>
      </c>
      <c r="F9" s="8"/>
      <c r="H9" s="8"/>
    </row>
    <row r="10" spans="2:8" ht="21" customHeight="1" x14ac:dyDescent="0.25">
      <c r="B10" s="11"/>
      <c r="C10" s="11"/>
      <c r="D10" s="8"/>
      <c r="E10" s="8"/>
      <c r="F10" s="8"/>
      <c r="G10" s="8"/>
      <c r="H10" s="8"/>
    </row>
    <row r="11" spans="2:8" ht="28.5" customHeight="1" x14ac:dyDescent="0.25">
      <c r="B11" s="294" t="s">
        <v>16</v>
      </c>
      <c r="C11" s="294" t="s">
        <v>17</v>
      </c>
      <c r="D11" s="294"/>
      <c r="E11" s="294"/>
      <c r="F11" s="12" t="s">
        <v>18</v>
      </c>
      <c r="G11" s="12" t="s">
        <v>20</v>
      </c>
      <c r="H11" s="8"/>
    </row>
    <row r="12" spans="2:8" ht="15.75" customHeight="1" x14ac:dyDescent="0.25">
      <c r="B12" s="294"/>
      <c r="C12" s="12" t="s">
        <v>21</v>
      </c>
      <c r="D12" s="12" t="s">
        <v>22</v>
      </c>
      <c r="E12" s="12" t="s">
        <v>23</v>
      </c>
      <c r="F12" s="12" t="s">
        <v>24</v>
      </c>
      <c r="G12" s="12" t="s">
        <v>25</v>
      </c>
      <c r="H12" s="8"/>
    </row>
    <row r="13" spans="2:8" x14ac:dyDescent="0.25">
      <c r="B13" s="13" t="s">
        <v>111</v>
      </c>
      <c r="C13" s="14">
        <f>_xlfn.CEILING.PRECISE(D13/C7,16)</f>
        <v>1344</v>
      </c>
      <c r="D13" s="15">
        <f>CEILING(C9*IF(C8="нет",VLOOKUP(C6,$C$35:$H$38,3,0),VLOOKUP(C6,$C$39:$H$42,3,0)),IF(C7=3,72,96))</f>
        <v>4032</v>
      </c>
      <c r="E13" s="16">
        <f>ROUNDUP(C13/16,0)</f>
        <v>84</v>
      </c>
      <c r="F13" s="16">
        <f>E13*IF(C6=100,VLOOKUP(C7,D35:H36,4,0),VLOOKUP(C7,D37:H38,4,0))</f>
        <v>2016</v>
      </c>
      <c r="G13" s="17">
        <f>E13*IF(C6=100,VLOOKUP(C7,D35:H36,5,0),VLOOKUP(C7,D37:H38,5,0))</f>
        <v>17.22</v>
      </c>
      <c r="H13" s="4"/>
    </row>
    <row r="14" spans="2:8" x14ac:dyDescent="0.25">
      <c r="B14" s="13" t="s">
        <v>112</v>
      </c>
      <c r="C14" s="14">
        <f>ROUNDUP(D14/D45,0)</f>
        <v>108</v>
      </c>
      <c r="D14" s="15">
        <f>CEILING(C9/1.2,48)</f>
        <v>432</v>
      </c>
      <c r="E14" s="16">
        <f>ROUNDUP(C14/12,0)</f>
        <v>9</v>
      </c>
      <c r="F14" s="16">
        <f>E14*G45</f>
        <v>16.2</v>
      </c>
      <c r="G14" s="17">
        <f>E14*H45</f>
        <v>8.0999999999999989E-2</v>
      </c>
    </row>
    <row r="15" spans="2:8" x14ac:dyDescent="0.25">
      <c r="B15" s="13" t="s">
        <v>30</v>
      </c>
      <c r="C15" s="15">
        <f>CEILING(C9*E46,100)</f>
        <v>400</v>
      </c>
      <c r="D15" s="16"/>
      <c r="E15" s="16">
        <f>CEILING(C15/100,1)</f>
        <v>4</v>
      </c>
      <c r="F15" s="16">
        <f>E15*G46</f>
        <v>12.4</v>
      </c>
      <c r="G15" s="17">
        <f>E15*H46</f>
        <v>0.01</v>
      </c>
    </row>
    <row r="16" spans="2:8" x14ac:dyDescent="0.25">
      <c r="B16" s="13" t="str">
        <f>IF(C8="нет","-","Вставка")</f>
        <v>Вставка</v>
      </c>
      <c r="C16" s="16">
        <f>IF(C8="нет","-",C13)</f>
        <v>1344</v>
      </c>
      <c r="D16" s="15">
        <f>IF(C8="нет","-",D13)</f>
        <v>4032</v>
      </c>
      <c r="E16" s="16">
        <f>IF(C8="да",ROUNDUP(C16/30,0),"-")</f>
        <v>45</v>
      </c>
      <c r="F16" s="16">
        <f>IF(C8="да",E16*VLOOKUP(C7,D43:H44,4,0),"-")</f>
        <v>1170</v>
      </c>
      <c r="G16" s="17">
        <f>IF(C8="да",E16*VLOOKUP(C7,D43:H44,5,0),"-")</f>
        <v>2.6999999999999997</v>
      </c>
    </row>
    <row r="17" spans="2:8" x14ac:dyDescent="0.25">
      <c r="B17" s="18" t="s">
        <v>84</v>
      </c>
      <c r="C17" s="19">
        <f>CEILING(D17/3,1)</f>
        <v>135</v>
      </c>
      <c r="D17" s="20">
        <f>CEILING(C9*0.7,135)</f>
        <v>405</v>
      </c>
      <c r="E17" s="21">
        <f>CEILING(C17/45,1)</f>
        <v>3</v>
      </c>
      <c r="F17" s="22">
        <f>E17*G47</f>
        <v>32.400000000000006</v>
      </c>
      <c r="G17" s="23">
        <f>E17*H47</f>
        <v>3.6000000000000004E-2</v>
      </c>
      <c r="H17" s="4"/>
    </row>
    <row r="18" spans="2:8" x14ac:dyDescent="0.25">
      <c r="B18" s="24" t="s">
        <v>35</v>
      </c>
      <c r="C18" s="25"/>
      <c r="D18" s="25"/>
      <c r="E18" s="26">
        <f>SUM(E13:E17)</f>
        <v>145</v>
      </c>
      <c r="F18" s="26">
        <f>SUM(F13:F17)</f>
        <v>3247.0000000000005</v>
      </c>
      <c r="G18" s="27">
        <f>SUM(G13:G17)</f>
        <v>20.047000000000001</v>
      </c>
      <c r="H18" s="28"/>
    </row>
    <row r="19" spans="2:8" x14ac:dyDescent="0.25">
      <c r="B19" s="29"/>
      <c r="C19" s="30"/>
      <c r="D19" s="30"/>
      <c r="E19" s="31"/>
      <c r="F19" s="31"/>
      <c r="G19" s="32"/>
      <c r="H19" s="28"/>
    </row>
    <row r="20" spans="2:8" x14ac:dyDescent="0.25">
      <c r="B20" s="40" t="s">
        <v>85</v>
      </c>
      <c r="C20" s="8"/>
      <c r="D20" s="8"/>
      <c r="E20" s="8"/>
      <c r="F20" s="8"/>
      <c r="G20" s="8"/>
      <c r="H20" s="8"/>
    </row>
    <row r="21" spans="2:8" x14ac:dyDescent="0.25">
      <c r="B21" s="40"/>
      <c r="C21" s="8"/>
      <c r="D21" s="8"/>
      <c r="E21" s="8"/>
      <c r="F21" s="8"/>
      <c r="G21" s="8"/>
      <c r="H21" s="8"/>
    </row>
    <row r="22" spans="2:8" ht="18.75" customHeight="1" x14ac:dyDescent="0.25">
      <c r="B22" s="40"/>
      <c r="C22" s="8"/>
      <c r="D22" s="8"/>
      <c r="E22" s="8"/>
      <c r="F22" s="8"/>
      <c r="G22" s="8"/>
      <c r="H22" s="8"/>
    </row>
    <row r="23" spans="2:8" ht="18.75" customHeight="1" x14ac:dyDescent="0.25">
      <c r="B23" s="40"/>
      <c r="C23" s="8"/>
      <c r="D23" s="8"/>
      <c r="E23" s="8"/>
      <c r="F23" s="8"/>
      <c r="G23" s="8"/>
      <c r="H23" s="8"/>
    </row>
    <row r="24" spans="2:8" ht="18.75" customHeight="1" x14ac:dyDescent="0.25">
      <c r="B24" s="40"/>
      <c r="C24" s="8"/>
      <c r="D24" s="8"/>
      <c r="E24" s="8"/>
      <c r="F24" s="8"/>
      <c r="G24" s="8"/>
      <c r="H24" s="8"/>
    </row>
    <row r="25" spans="2:8" ht="18.75" customHeight="1" x14ac:dyDescent="0.25">
      <c r="B25" s="40"/>
      <c r="C25" s="8"/>
      <c r="D25" s="8"/>
      <c r="E25" s="8"/>
      <c r="F25" s="8"/>
      <c r="G25" s="8"/>
      <c r="H25" s="8"/>
    </row>
    <row r="26" spans="2:8" ht="18.75" customHeight="1" x14ac:dyDescent="0.25">
      <c r="B26" s="40"/>
      <c r="C26" s="8"/>
      <c r="D26" s="8"/>
      <c r="E26" s="8"/>
      <c r="F26" s="8"/>
      <c r="G26" s="8"/>
      <c r="H26" s="8"/>
    </row>
    <row r="27" spans="2:8" ht="18.75" customHeight="1" x14ac:dyDescent="0.25">
      <c r="B27" s="40"/>
      <c r="C27" s="8"/>
      <c r="D27" s="8"/>
      <c r="E27" s="8"/>
      <c r="F27" s="8"/>
      <c r="G27" s="8"/>
      <c r="H27" s="8"/>
    </row>
    <row r="28" spans="2:8" ht="18.75" customHeight="1" x14ac:dyDescent="0.25">
      <c r="B28" s="40"/>
      <c r="C28" s="8"/>
      <c r="D28" s="8"/>
      <c r="E28" s="8"/>
      <c r="F28" s="8"/>
      <c r="G28" s="8"/>
      <c r="H28" s="8"/>
    </row>
    <row r="29" spans="2:8" ht="18.75" customHeight="1" x14ac:dyDescent="0.25">
      <c r="B29" s="40"/>
      <c r="C29" s="8"/>
      <c r="D29" s="8"/>
      <c r="E29" s="8"/>
      <c r="F29" s="8"/>
      <c r="G29" s="8"/>
      <c r="H29" s="8"/>
    </row>
    <row r="30" spans="2:8" ht="18.75" hidden="1" customHeight="1" x14ac:dyDescent="0.25">
      <c r="B30" s="40"/>
      <c r="C30" s="8"/>
      <c r="D30" s="8"/>
      <c r="E30" s="8"/>
      <c r="F30" s="8"/>
      <c r="G30" s="8"/>
      <c r="H30" s="8"/>
    </row>
    <row r="31" spans="2:8" ht="18.75" hidden="1" customHeight="1" x14ac:dyDescent="0.25">
      <c r="B31" s="40"/>
      <c r="C31" s="8"/>
      <c r="D31" s="8"/>
      <c r="E31" s="8"/>
      <c r="F31" s="8"/>
      <c r="G31" s="8"/>
      <c r="H31" s="8"/>
    </row>
    <row r="32" spans="2:8" ht="18.75" hidden="1" customHeight="1" x14ac:dyDescent="0.25">
      <c r="B32" s="40"/>
      <c r="C32" s="8"/>
      <c r="D32" s="8"/>
      <c r="E32" s="8"/>
      <c r="F32" s="8"/>
      <c r="G32" s="8"/>
      <c r="H32" s="8"/>
    </row>
    <row r="33" spans="2:8" hidden="1" x14ac:dyDescent="0.25">
      <c r="B33" s="33" t="s">
        <v>37</v>
      </c>
      <c r="C33" s="33"/>
      <c r="D33" s="33"/>
    </row>
    <row r="34" spans="2:8" ht="30" hidden="1" customHeight="1" x14ac:dyDescent="0.25">
      <c r="B34" s="34" t="s">
        <v>113</v>
      </c>
      <c r="C34" s="35" t="s">
        <v>114</v>
      </c>
      <c r="D34" s="35" t="s">
        <v>115</v>
      </c>
      <c r="E34" s="35" t="s">
        <v>116</v>
      </c>
      <c r="F34" s="35" t="s">
        <v>117</v>
      </c>
      <c r="G34" s="35" t="s">
        <v>118</v>
      </c>
      <c r="H34" s="35" t="s">
        <v>119</v>
      </c>
    </row>
    <row r="35" spans="2:8" hidden="1" x14ac:dyDescent="0.25">
      <c r="B35" s="36" t="s">
        <v>111</v>
      </c>
      <c r="C35" s="37">
        <v>100</v>
      </c>
      <c r="D35" s="37">
        <v>3</v>
      </c>
      <c r="E35" s="37">
        <v>10</v>
      </c>
      <c r="F35" s="37">
        <v>16</v>
      </c>
      <c r="G35" s="37">
        <v>24</v>
      </c>
      <c r="H35" s="37">
        <v>0.20499999999999999</v>
      </c>
    </row>
    <row r="36" spans="2:8" hidden="1" x14ac:dyDescent="0.25">
      <c r="B36" s="36" t="s">
        <v>111</v>
      </c>
      <c r="C36" s="37">
        <v>100</v>
      </c>
      <c r="D36" s="37">
        <v>4</v>
      </c>
      <c r="E36" s="37">
        <v>10</v>
      </c>
      <c r="F36" s="37">
        <v>16</v>
      </c>
      <c r="G36" s="37">
        <v>31</v>
      </c>
      <c r="H36" s="37">
        <v>0.20499999999999999</v>
      </c>
    </row>
    <row r="37" spans="2:8" hidden="1" x14ac:dyDescent="0.25">
      <c r="B37" s="36" t="s">
        <v>111</v>
      </c>
      <c r="C37" s="37">
        <v>150</v>
      </c>
      <c r="D37" s="37">
        <v>3</v>
      </c>
      <c r="E37" s="37">
        <v>6.67</v>
      </c>
      <c r="F37" s="37">
        <v>16</v>
      </c>
      <c r="G37" s="37">
        <v>26</v>
      </c>
      <c r="H37" s="37">
        <v>0.23300000000000001</v>
      </c>
    </row>
    <row r="38" spans="2:8" hidden="1" x14ac:dyDescent="0.25">
      <c r="B38" s="36" t="s">
        <v>111</v>
      </c>
      <c r="C38" s="37">
        <v>150</v>
      </c>
      <c r="D38" s="37">
        <v>4</v>
      </c>
      <c r="E38" s="37">
        <v>6.67</v>
      </c>
      <c r="F38" s="37">
        <v>16</v>
      </c>
      <c r="G38" s="37">
        <v>33</v>
      </c>
      <c r="H38" s="37">
        <v>0.23300000000000001</v>
      </c>
    </row>
    <row r="39" spans="2:8" hidden="1" x14ac:dyDescent="0.25">
      <c r="B39" s="36" t="s">
        <v>120</v>
      </c>
      <c r="C39" s="37">
        <v>100</v>
      </c>
      <c r="D39" s="37">
        <v>3</v>
      </c>
      <c r="E39" s="37">
        <v>8</v>
      </c>
      <c r="F39" s="37">
        <v>24</v>
      </c>
      <c r="G39" s="37">
        <v>24</v>
      </c>
      <c r="H39" s="37">
        <v>0.20499999999999999</v>
      </c>
    </row>
    <row r="40" spans="2:8" hidden="1" x14ac:dyDescent="0.25">
      <c r="B40" s="36" t="s">
        <v>120</v>
      </c>
      <c r="C40" s="37">
        <v>100</v>
      </c>
      <c r="D40" s="37">
        <v>4</v>
      </c>
      <c r="E40" s="37">
        <v>8</v>
      </c>
      <c r="F40" s="37">
        <v>24</v>
      </c>
      <c r="G40" s="37">
        <v>31</v>
      </c>
      <c r="H40" s="37">
        <v>0.20499999999999999</v>
      </c>
    </row>
    <row r="41" spans="2:8" hidden="1" x14ac:dyDescent="0.25">
      <c r="B41" s="36" t="s">
        <v>120</v>
      </c>
      <c r="C41" s="37">
        <v>150</v>
      </c>
      <c r="D41" s="37">
        <v>3</v>
      </c>
      <c r="E41" s="37">
        <v>5.71</v>
      </c>
      <c r="F41" s="37">
        <v>24</v>
      </c>
      <c r="G41" s="37">
        <v>26</v>
      </c>
      <c r="H41" s="37">
        <v>0.23300000000000001</v>
      </c>
    </row>
    <row r="42" spans="2:8" hidden="1" x14ac:dyDescent="0.25">
      <c r="B42" s="36" t="s">
        <v>120</v>
      </c>
      <c r="C42" s="37">
        <v>150</v>
      </c>
      <c r="D42" s="37">
        <v>4</v>
      </c>
      <c r="E42" s="37">
        <v>5.71</v>
      </c>
      <c r="F42" s="37">
        <v>24</v>
      </c>
      <c r="G42" s="37">
        <v>33</v>
      </c>
      <c r="H42" s="37">
        <v>0.23300000000000001</v>
      </c>
    </row>
    <row r="43" spans="2:8" hidden="1" x14ac:dyDescent="0.25">
      <c r="B43" s="36" t="s">
        <v>121</v>
      </c>
      <c r="C43" s="37">
        <v>25</v>
      </c>
      <c r="D43" s="37">
        <v>3</v>
      </c>
      <c r="E43" s="37"/>
      <c r="F43" s="37">
        <v>24</v>
      </c>
      <c r="G43" s="37">
        <v>26</v>
      </c>
      <c r="H43" s="37">
        <v>0.06</v>
      </c>
    </row>
    <row r="44" spans="2:8" hidden="1" x14ac:dyDescent="0.25">
      <c r="B44" s="36" t="s">
        <v>121</v>
      </c>
      <c r="C44" s="37">
        <v>25</v>
      </c>
      <c r="D44" s="37">
        <v>4</v>
      </c>
      <c r="E44" s="37"/>
      <c r="F44" s="37">
        <v>24</v>
      </c>
      <c r="G44" s="37">
        <v>35</v>
      </c>
      <c r="H44" s="37">
        <v>0.08</v>
      </c>
    </row>
    <row r="45" spans="2:8" hidden="1" x14ac:dyDescent="0.25">
      <c r="B45" s="36" t="s">
        <v>112</v>
      </c>
      <c r="C45" s="37"/>
      <c r="D45" s="37">
        <v>4</v>
      </c>
      <c r="E45" s="37">
        <v>0.8</v>
      </c>
      <c r="F45" s="37">
        <v>12</v>
      </c>
      <c r="G45" s="37">
        <v>1.8</v>
      </c>
      <c r="H45" s="37">
        <v>8.9999999999999993E-3</v>
      </c>
    </row>
    <row r="46" spans="2:8" hidden="1" x14ac:dyDescent="0.25">
      <c r="B46" s="36" t="s">
        <v>30</v>
      </c>
      <c r="C46" s="37"/>
      <c r="D46" s="37"/>
      <c r="E46" s="37">
        <v>0.7</v>
      </c>
      <c r="F46" s="37">
        <v>100</v>
      </c>
      <c r="G46" s="37">
        <v>3.1</v>
      </c>
      <c r="H46" s="37">
        <v>2.5000000000000001E-3</v>
      </c>
    </row>
    <row r="47" spans="2:8" hidden="1" x14ac:dyDescent="0.25">
      <c r="B47" s="36" t="s">
        <v>84</v>
      </c>
      <c r="C47" s="37"/>
      <c r="D47" s="37"/>
      <c r="E47" s="37">
        <v>0.7</v>
      </c>
      <c r="F47" s="37">
        <v>45</v>
      </c>
      <c r="G47" s="37">
        <v>10.8</v>
      </c>
      <c r="H47" s="37">
        <v>1.2E-2</v>
      </c>
    </row>
    <row r="48" spans="2:8" hidden="1" x14ac:dyDescent="0.25">
      <c r="B48" s="38"/>
      <c r="C48" s="39"/>
      <c r="D48" s="39"/>
      <c r="E48" s="39"/>
      <c r="F48" s="39"/>
      <c r="G48" s="39"/>
      <c r="H48" s="39"/>
    </row>
    <row r="49" spans="3:8" hidden="1" x14ac:dyDescent="0.25">
      <c r="C49" s="41"/>
      <c r="D49" s="41"/>
      <c r="E49" s="41"/>
      <c r="F49" s="41"/>
      <c r="G49" s="41"/>
      <c r="H49" s="41"/>
    </row>
  </sheetData>
  <sheetProtection algorithmName="SHA-512" hashValue="zgioPICOY8ts6cwlp/oZnNAyuSzkpVI6d0dINdp8tMQMlG3jyRkegopBgL0n/UdVuj7CAG6v4OItnagoO1KFAw==" saltValue="lh/MHx6Kge8/FBWa7lPO2w==" spinCount="100000" sheet="1" objects="1" scenarios="1"/>
  <mergeCells count="3">
    <mergeCell ref="B5:C5"/>
    <mergeCell ref="C11:E11"/>
    <mergeCell ref="B11:B12"/>
  </mergeCells>
  <dataValidations count="3">
    <dataValidation type="list" allowBlank="1" showInputMessage="1" showErrorMessage="1" sqref="C6" xr:uid="{00000000-0002-0000-0500-000000000000}">
      <formula1>$C$36:$C$37</formula1>
    </dataValidation>
    <dataValidation type="list" allowBlank="1" showInputMessage="1" showErrorMessage="1" sqref="C7" xr:uid="{00000000-0002-0000-0500-000001000000}">
      <formula1>$D$37:$D$38</formula1>
    </dataValidation>
    <dataValidation type="list" allowBlank="1" showInputMessage="1" showErrorMessage="1" sqref="C8" xr:uid="{00000000-0002-0000-0500-000002000000}">
      <formula1>"да,нет"</formula1>
    </dataValidation>
  </dataValidations>
  <pageMargins left="0.7" right="0.7" top="0.75" bottom="0.75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I156"/>
  <sheetViews>
    <sheetView showGridLines="0" zoomScaleNormal="100" workbookViewId="0"/>
  </sheetViews>
  <sheetFormatPr defaultColWidth="0" defaultRowHeight="15" customHeight="1" zeroHeight="1" x14ac:dyDescent="0.2"/>
  <cols>
    <col min="1" max="1" width="2.85546875" style="244" customWidth="1"/>
    <col min="2" max="2" width="29.140625" style="244" bestFit="1" customWidth="1"/>
    <col min="3" max="3" width="9.140625" style="244" customWidth="1"/>
    <col min="4" max="4" width="21.7109375" style="244" customWidth="1"/>
    <col min="5" max="5" width="4.28515625" style="244" customWidth="1"/>
    <col min="6" max="6" width="9.140625" style="244" customWidth="1"/>
    <col min="7" max="7" width="5.85546875" style="244" customWidth="1"/>
    <col min="8" max="8" width="4.28515625" style="244" customWidth="1"/>
    <col min="9" max="16384" width="9.140625" style="244" hidden="1"/>
  </cols>
  <sheetData>
    <row r="1" spans="1:7" ht="24" customHeight="1" x14ac:dyDescent="0.2"/>
    <row r="2" spans="1:7" ht="24" customHeight="1" x14ac:dyDescent="0.2"/>
    <row r="3" spans="1:7" ht="15" customHeight="1" x14ac:dyDescent="0.2">
      <c r="B3" s="238" t="s">
        <v>122</v>
      </c>
    </row>
    <row r="4" spans="1:7" ht="15" customHeight="1" x14ac:dyDescent="0.2"/>
    <row r="5" spans="1:7" ht="12.75" x14ac:dyDescent="0.2">
      <c r="B5" s="239" t="s">
        <v>108</v>
      </c>
      <c r="C5" s="240">
        <v>50</v>
      </c>
      <c r="D5" s="245" t="s">
        <v>123</v>
      </c>
      <c r="G5" s="245"/>
    </row>
    <row r="6" spans="1:7" ht="12.75" hidden="1" x14ac:dyDescent="0.2">
      <c r="B6" s="239" t="s">
        <v>124</v>
      </c>
      <c r="C6" s="240">
        <v>150</v>
      </c>
      <c r="D6" s="245" t="s">
        <v>123</v>
      </c>
      <c r="G6" s="245"/>
    </row>
    <row r="7" spans="1:7" ht="12.75" x14ac:dyDescent="0.2">
      <c r="B7" s="239" t="s">
        <v>141</v>
      </c>
      <c r="C7" s="240">
        <v>70</v>
      </c>
      <c r="D7" s="245" t="s">
        <v>123</v>
      </c>
      <c r="G7" s="245"/>
    </row>
    <row r="8" spans="1:7" ht="12.75" hidden="1" x14ac:dyDescent="0.2">
      <c r="A8" s="246"/>
      <c r="B8" s="239" t="s">
        <v>125</v>
      </c>
      <c r="C8" s="240" t="s">
        <v>126</v>
      </c>
      <c r="D8" s="245" t="s">
        <v>123</v>
      </c>
      <c r="G8" s="245"/>
    </row>
    <row r="9" spans="1:7" ht="12.75" x14ac:dyDescent="0.2">
      <c r="A9" s="246"/>
      <c r="B9" s="241" t="s">
        <v>109</v>
      </c>
      <c r="C9" s="240">
        <v>3</v>
      </c>
      <c r="D9" s="247" t="s">
        <v>127</v>
      </c>
      <c r="G9" s="248"/>
    </row>
    <row r="10" spans="1:7" ht="14.25" x14ac:dyDescent="0.2">
      <c r="A10" s="246"/>
      <c r="B10" s="241" t="s">
        <v>142</v>
      </c>
      <c r="C10" s="240">
        <v>245</v>
      </c>
      <c r="D10" s="245" t="s">
        <v>127</v>
      </c>
      <c r="G10" s="245"/>
    </row>
    <row r="11" spans="1:7" ht="12.75" x14ac:dyDescent="0.2">
      <c r="B11" s="249"/>
      <c r="C11" s="249"/>
      <c r="D11" s="249"/>
      <c r="E11" s="249"/>
      <c r="F11" s="249"/>
      <c r="G11" s="249"/>
    </row>
    <row r="12" spans="1:7" ht="12.75" x14ac:dyDescent="0.2">
      <c r="C12" s="249"/>
      <c r="D12" s="249"/>
      <c r="E12" s="249"/>
      <c r="F12" s="249"/>
      <c r="G12" s="249"/>
    </row>
    <row r="13" spans="1:7" ht="15.75" x14ac:dyDescent="0.2">
      <c r="B13" s="242" t="s">
        <v>128</v>
      </c>
      <c r="C13" s="249"/>
      <c r="D13" s="249"/>
      <c r="E13" s="249"/>
      <c r="F13" s="249"/>
      <c r="G13" s="249"/>
    </row>
    <row r="14" spans="1:7" ht="12.75" x14ac:dyDescent="0.2">
      <c r="B14" s="239" t="s">
        <v>129</v>
      </c>
      <c r="C14" s="243">
        <f>ROUNDUP(B109,0)</f>
        <v>681</v>
      </c>
      <c r="D14" s="249"/>
      <c r="E14" s="249"/>
      <c r="G14" s="249"/>
    </row>
    <row r="15" spans="1:7" ht="12.75" x14ac:dyDescent="0.2">
      <c r="B15" s="239" t="s">
        <v>143</v>
      </c>
      <c r="C15" s="243">
        <f>SUM(C7,C5)</f>
        <v>120</v>
      </c>
      <c r="D15" s="247" t="s">
        <v>151</v>
      </c>
      <c r="E15" s="249"/>
      <c r="G15" s="249"/>
    </row>
    <row r="16" spans="1:7" ht="12.75" x14ac:dyDescent="0.2">
      <c r="B16" s="239" t="s">
        <v>130</v>
      </c>
      <c r="C16" s="243">
        <f>ROUNDUP(B118,0)</f>
        <v>52</v>
      </c>
      <c r="D16" s="249"/>
      <c r="E16" s="249"/>
      <c r="G16" s="249"/>
    </row>
    <row r="17" spans="4:5" ht="12.75" x14ac:dyDescent="0.2">
      <c r="D17" s="249"/>
      <c r="E17" s="249"/>
    </row>
    <row r="18" spans="4:5" ht="12.75" x14ac:dyDescent="0.2">
      <c r="D18" s="249"/>
      <c r="E18" s="249"/>
    </row>
    <row r="19" spans="4:5" ht="12.75" x14ac:dyDescent="0.2">
      <c r="D19" s="249"/>
      <c r="E19" s="249"/>
    </row>
    <row r="20" spans="4:5" ht="12.75" x14ac:dyDescent="0.2">
      <c r="D20" s="249"/>
      <c r="E20" s="249"/>
    </row>
    <row r="21" spans="4:5" ht="12.75" x14ac:dyDescent="0.2">
      <c r="D21" s="249"/>
      <c r="E21" s="249"/>
    </row>
    <row r="22" spans="4:5" ht="12.75" x14ac:dyDescent="0.2">
      <c r="D22" s="249"/>
      <c r="E22" s="249"/>
    </row>
    <row r="23" spans="4:5" ht="12.75" x14ac:dyDescent="0.2">
      <c r="D23" s="249"/>
      <c r="E23" s="249"/>
    </row>
    <row r="24" spans="4:5" ht="12.75" x14ac:dyDescent="0.2">
      <c r="D24" s="249"/>
      <c r="E24" s="249"/>
    </row>
    <row r="25" spans="4:5" ht="12.75" x14ac:dyDescent="0.2">
      <c r="D25" s="249"/>
      <c r="E25" s="249"/>
    </row>
    <row r="26" spans="4:5" ht="12.75" x14ac:dyDescent="0.2">
      <c r="D26" s="249"/>
      <c r="E26" s="249"/>
    </row>
    <row r="27" spans="4:5" ht="12.75" x14ac:dyDescent="0.2">
      <c r="D27" s="249"/>
      <c r="E27" s="249"/>
    </row>
    <row r="28" spans="4:5" ht="12.75" x14ac:dyDescent="0.2">
      <c r="D28" s="249"/>
      <c r="E28" s="249"/>
    </row>
    <row r="29" spans="4:5" ht="12.75" x14ac:dyDescent="0.2">
      <c r="D29" s="249"/>
      <c r="E29" s="249"/>
    </row>
    <row r="30" spans="4:5" ht="12.75" x14ac:dyDescent="0.2">
      <c r="D30" s="249"/>
      <c r="E30" s="249"/>
    </row>
    <row r="31" spans="4:5" ht="12.75" x14ac:dyDescent="0.2">
      <c r="D31" s="249"/>
      <c r="E31" s="249"/>
    </row>
    <row r="32" spans="4:5" ht="12.75" x14ac:dyDescent="0.2">
      <c r="D32" s="249"/>
      <c r="E32" s="249"/>
    </row>
    <row r="33" spans="4:5" ht="12.75" x14ac:dyDescent="0.2">
      <c r="D33" s="249"/>
      <c r="E33" s="249"/>
    </row>
    <row r="34" spans="4:5" ht="12.75" x14ac:dyDescent="0.2">
      <c r="D34" s="249"/>
      <c r="E34" s="249"/>
    </row>
    <row r="35" spans="4:5" ht="12.75" x14ac:dyDescent="0.2">
      <c r="D35" s="249"/>
      <c r="E35" s="249"/>
    </row>
    <row r="36" spans="4:5" ht="12.75" x14ac:dyDescent="0.2">
      <c r="D36" s="249"/>
      <c r="E36" s="249"/>
    </row>
    <row r="37" spans="4:5" ht="12.75" x14ac:dyDescent="0.2">
      <c r="D37" s="249"/>
      <c r="E37" s="249"/>
    </row>
    <row r="38" spans="4:5" ht="12.75" x14ac:dyDescent="0.2">
      <c r="D38" s="249"/>
      <c r="E38" s="249"/>
    </row>
    <row r="39" spans="4:5" ht="12.75" x14ac:dyDescent="0.2">
      <c r="D39" s="249"/>
      <c r="E39" s="249"/>
    </row>
    <row r="40" spans="4:5" ht="12.75" hidden="1" x14ac:dyDescent="0.2">
      <c r="D40" s="249"/>
      <c r="E40" s="249"/>
    </row>
    <row r="41" spans="4:5" ht="12.75" hidden="1" x14ac:dyDescent="0.2">
      <c r="D41" s="249"/>
      <c r="E41" s="249"/>
    </row>
    <row r="42" spans="4:5" ht="12.75" hidden="1" x14ac:dyDescent="0.2">
      <c r="D42" s="249"/>
      <c r="E42" s="249"/>
    </row>
    <row r="43" spans="4:5" ht="12.75" hidden="1" x14ac:dyDescent="0.2">
      <c r="D43" s="249"/>
      <c r="E43" s="249"/>
    </row>
    <row r="44" spans="4:5" ht="12.75" hidden="1" x14ac:dyDescent="0.2">
      <c r="D44" s="249"/>
      <c r="E44" s="249"/>
    </row>
    <row r="45" spans="4:5" ht="12.75" hidden="1" x14ac:dyDescent="0.2">
      <c r="D45" s="249"/>
      <c r="E45" s="249"/>
    </row>
    <row r="46" spans="4:5" ht="12.75" hidden="1" x14ac:dyDescent="0.2">
      <c r="D46" s="249"/>
      <c r="E46" s="249"/>
    </row>
    <row r="47" spans="4:5" ht="12.75" hidden="1" x14ac:dyDescent="0.2">
      <c r="D47" s="249"/>
      <c r="E47" s="249"/>
    </row>
    <row r="48" spans="4:5" ht="12.75" hidden="1" x14ac:dyDescent="0.2">
      <c r="D48" s="249"/>
      <c r="E48" s="249"/>
    </row>
    <row r="49" spans="2:5" ht="12.75" hidden="1" x14ac:dyDescent="0.2">
      <c r="D49" s="249"/>
      <c r="E49" s="249"/>
    </row>
    <row r="50" spans="2:5" ht="12.75" hidden="1" x14ac:dyDescent="0.2">
      <c r="D50" s="249"/>
      <c r="E50" s="249"/>
    </row>
    <row r="51" spans="2:5" ht="12.75" hidden="1" x14ac:dyDescent="0.2">
      <c r="D51" s="249"/>
      <c r="E51" s="249"/>
    </row>
    <row r="52" spans="2:5" ht="12.75" hidden="1" x14ac:dyDescent="0.2">
      <c r="D52" s="249"/>
      <c r="E52" s="249"/>
    </row>
    <row r="53" spans="2:5" ht="12.75" hidden="1" x14ac:dyDescent="0.2">
      <c r="D53" s="249"/>
      <c r="E53" s="249"/>
    </row>
    <row r="54" spans="2:5" ht="12.75" hidden="1" x14ac:dyDescent="0.2">
      <c r="D54" s="249"/>
      <c r="E54" s="249"/>
    </row>
    <row r="55" spans="2:5" ht="12.75" hidden="1" x14ac:dyDescent="0.2">
      <c r="D55" s="249"/>
      <c r="E55" s="249"/>
    </row>
    <row r="56" spans="2:5" ht="12.75" hidden="1" x14ac:dyDescent="0.2">
      <c r="D56" s="249"/>
      <c r="E56" s="249"/>
    </row>
    <row r="57" spans="2:5" ht="12.75" hidden="1" x14ac:dyDescent="0.2">
      <c r="D57" s="249"/>
      <c r="E57" s="249"/>
    </row>
    <row r="58" spans="2:5" ht="12.75" hidden="1" x14ac:dyDescent="0.2">
      <c r="D58" s="249"/>
      <c r="E58" s="249"/>
    </row>
    <row r="59" spans="2:5" ht="12.75" hidden="1" x14ac:dyDescent="0.2">
      <c r="D59" s="249"/>
      <c r="E59" s="249"/>
    </row>
    <row r="60" spans="2:5" ht="12.75" hidden="1" x14ac:dyDescent="0.2">
      <c r="D60" s="249"/>
      <c r="E60" s="249"/>
    </row>
    <row r="61" spans="2:5" ht="12.75" hidden="1" x14ac:dyDescent="0.2">
      <c r="D61" s="249"/>
      <c r="E61" s="249"/>
    </row>
    <row r="62" spans="2:5" ht="12.75" hidden="1" x14ac:dyDescent="0.2">
      <c r="B62" s="250" t="s">
        <v>131</v>
      </c>
    </row>
    <row r="63" spans="2:5" ht="12.75" hidden="1" x14ac:dyDescent="0.2">
      <c r="B63" s="244">
        <v>25</v>
      </c>
    </row>
    <row r="64" spans="2:5" ht="12.75" hidden="1" x14ac:dyDescent="0.2">
      <c r="B64" s="244">
        <v>30</v>
      </c>
    </row>
    <row r="65" spans="2:9" ht="12.75" hidden="1" x14ac:dyDescent="0.2">
      <c r="B65" s="244">
        <v>35</v>
      </c>
    </row>
    <row r="66" spans="2:9" ht="12.75" hidden="1" x14ac:dyDescent="0.2">
      <c r="B66" s="244">
        <v>40</v>
      </c>
    </row>
    <row r="67" spans="2:9" ht="12.75" hidden="1" x14ac:dyDescent="0.2">
      <c r="B67" s="244">
        <v>45</v>
      </c>
    </row>
    <row r="68" spans="2:9" ht="12.75" hidden="1" x14ac:dyDescent="0.2">
      <c r="B68" s="244">
        <v>50</v>
      </c>
    </row>
    <row r="69" spans="2:9" ht="12.75" hidden="1" x14ac:dyDescent="0.2">
      <c r="B69" s="244">
        <v>55</v>
      </c>
    </row>
    <row r="70" spans="2:9" ht="12.75" hidden="1" x14ac:dyDescent="0.2">
      <c r="B70" s="244">
        <v>60</v>
      </c>
    </row>
    <row r="71" spans="2:9" ht="12.75" hidden="1" x14ac:dyDescent="0.2">
      <c r="B71" s="244">
        <v>65</v>
      </c>
    </row>
    <row r="72" spans="2:9" ht="12.75" hidden="1" x14ac:dyDescent="0.2">
      <c r="B72" s="244">
        <v>70</v>
      </c>
    </row>
    <row r="73" spans="2:9" ht="12.75" hidden="1" x14ac:dyDescent="0.2">
      <c r="B73" s="244">
        <v>75</v>
      </c>
    </row>
    <row r="74" spans="2:9" ht="12.75" hidden="1" x14ac:dyDescent="0.2">
      <c r="B74" s="244">
        <v>80</v>
      </c>
    </row>
    <row r="75" spans="2:9" ht="12.75" hidden="1" x14ac:dyDescent="0.2">
      <c r="B75" s="244">
        <v>85</v>
      </c>
    </row>
    <row r="76" spans="2:9" ht="12.75" hidden="1" x14ac:dyDescent="0.2">
      <c r="B76" s="244">
        <v>90</v>
      </c>
    </row>
    <row r="77" spans="2:9" ht="12.75" hidden="1" x14ac:dyDescent="0.2">
      <c r="B77" s="244">
        <v>95</v>
      </c>
    </row>
    <row r="78" spans="2:9" ht="12.75" hidden="1" x14ac:dyDescent="0.2">
      <c r="B78" s="244">
        <v>100</v>
      </c>
    </row>
    <row r="79" spans="2:9" ht="12.75" hidden="1" x14ac:dyDescent="0.2">
      <c r="B79" s="250" t="s">
        <v>132</v>
      </c>
      <c r="E79" s="250" t="s">
        <v>133</v>
      </c>
      <c r="I79" s="250" t="s">
        <v>134</v>
      </c>
    </row>
    <row r="80" spans="2:9" ht="12.75" hidden="1" x14ac:dyDescent="0.2">
      <c r="B80" s="251">
        <v>25</v>
      </c>
      <c r="E80" s="251">
        <v>30</v>
      </c>
      <c r="I80" s="251">
        <v>30</v>
      </c>
    </row>
    <row r="81" spans="2:9" ht="12.75" hidden="1" x14ac:dyDescent="0.2">
      <c r="B81" s="251">
        <v>30</v>
      </c>
      <c r="E81" s="251">
        <v>35</v>
      </c>
      <c r="I81" s="251">
        <v>40</v>
      </c>
    </row>
    <row r="82" spans="2:9" ht="12.75" hidden="1" x14ac:dyDescent="0.2">
      <c r="B82" s="251">
        <v>35</v>
      </c>
      <c r="E82" s="251">
        <v>40</v>
      </c>
      <c r="I82" s="251">
        <v>50</v>
      </c>
    </row>
    <row r="83" spans="2:9" ht="12.75" hidden="1" x14ac:dyDescent="0.2">
      <c r="B83" s="251">
        <v>39</v>
      </c>
      <c r="E83" s="251">
        <v>45</v>
      </c>
      <c r="I83" s="251">
        <v>60</v>
      </c>
    </row>
    <row r="84" spans="2:9" ht="12.75" hidden="1" x14ac:dyDescent="0.2">
      <c r="B84" s="251">
        <v>40</v>
      </c>
      <c r="E84" s="251">
        <v>50</v>
      </c>
      <c r="I84" s="251">
        <v>70</v>
      </c>
    </row>
    <row r="85" spans="2:9" ht="12.75" hidden="1" x14ac:dyDescent="0.2">
      <c r="B85" s="251">
        <v>45</v>
      </c>
      <c r="E85" s="251">
        <v>55</v>
      </c>
      <c r="I85" s="251">
        <v>80</v>
      </c>
    </row>
    <row r="86" spans="2:9" ht="12.75" hidden="1" x14ac:dyDescent="0.2">
      <c r="B86" s="251">
        <v>50</v>
      </c>
      <c r="E86" s="251">
        <v>60</v>
      </c>
      <c r="I86" s="251">
        <v>90</v>
      </c>
    </row>
    <row r="87" spans="2:9" ht="12.75" hidden="1" x14ac:dyDescent="0.2">
      <c r="B87" s="251">
        <v>55</v>
      </c>
      <c r="E87" s="251">
        <v>65</v>
      </c>
      <c r="I87" s="251">
        <v>100</v>
      </c>
    </row>
    <row r="88" spans="2:9" ht="12.75" hidden="1" x14ac:dyDescent="0.2">
      <c r="B88" s="251">
        <v>60</v>
      </c>
      <c r="E88" s="251">
        <v>70</v>
      </c>
    </row>
    <row r="89" spans="2:9" ht="12.75" hidden="1" x14ac:dyDescent="0.2">
      <c r="B89" s="251">
        <v>65</v>
      </c>
      <c r="E89" s="251">
        <v>75</v>
      </c>
    </row>
    <row r="90" spans="2:9" ht="12.75" hidden="1" x14ac:dyDescent="0.2">
      <c r="B90" s="251">
        <v>70</v>
      </c>
      <c r="E90" s="251">
        <v>80</v>
      </c>
    </row>
    <row r="91" spans="2:9" ht="12.75" hidden="1" x14ac:dyDescent="0.2">
      <c r="B91" s="251">
        <v>75</v>
      </c>
      <c r="E91" s="251">
        <v>85</v>
      </c>
    </row>
    <row r="92" spans="2:9" ht="12.75" hidden="1" x14ac:dyDescent="0.2">
      <c r="B92" s="251">
        <v>80</v>
      </c>
      <c r="E92" s="251">
        <v>90</v>
      </c>
    </row>
    <row r="93" spans="2:9" ht="12.75" hidden="1" x14ac:dyDescent="0.2">
      <c r="B93" s="251">
        <v>85</v>
      </c>
      <c r="E93" s="251">
        <v>95</v>
      </c>
    </row>
    <row r="94" spans="2:9" ht="12.75" hidden="1" x14ac:dyDescent="0.2">
      <c r="B94" s="251">
        <v>90</v>
      </c>
      <c r="E94" s="251">
        <v>100</v>
      </c>
    </row>
    <row r="95" spans="2:9" ht="12.75" hidden="1" x14ac:dyDescent="0.2">
      <c r="B95" s="251">
        <v>95</v>
      </c>
      <c r="E95" s="251">
        <v>105</v>
      </c>
    </row>
    <row r="96" spans="2:9" ht="12.75" hidden="1" x14ac:dyDescent="0.2">
      <c r="B96" s="251">
        <v>100</v>
      </c>
      <c r="E96" s="251">
        <v>110</v>
      </c>
    </row>
    <row r="97" spans="2:5" ht="12.75" hidden="1" x14ac:dyDescent="0.2">
      <c r="B97" s="251">
        <v>105</v>
      </c>
      <c r="E97" s="251">
        <v>115</v>
      </c>
    </row>
    <row r="98" spans="2:5" ht="12.75" hidden="1" x14ac:dyDescent="0.2">
      <c r="B98" s="251">
        <v>110</v>
      </c>
      <c r="E98" s="251">
        <v>120</v>
      </c>
    </row>
    <row r="99" spans="2:5" ht="12.75" hidden="1" x14ac:dyDescent="0.2">
      <c r="B99" s="251">
        <v>115</v>
      </c>
      <c r="E99" s="251">
        <v>125</v>
      </c>
    </row>
    <row r="100" spans="2:5" ht="12.75" hidden="1" x14ac:dyDescent="0.2">
      <c r="B100" s="251">
        <v>120</v>
      </c>
      <c r="E100" s="251">
        <v>130</v>
      </c>
    </row>
    <row r="101" spans="2:5" ht="12.75" hidden="1" x14ac:dyDescent="0.2">
      <c r="B101" s="251">
        <v>125</v>
      </c>
      <c r="E101" s="251">
        <v>135</v>
      </c>
    </row>
    <row r="102" spans="2:5" ht="12.75" hidden="1" x14ac:dyDescent="0.2">
      <c r="B102" s="251">
        <v>130</v>
      </c>
      <c r="E102" s="251">
        <v>140</v>
      </c>
    </row>
    <row r="103" spans="2:5" ht="12.75" hidden="1" x14ac:dyDescent="0.2">
      <c r="B103" s="251">
        <v>135</v>
      </c>
      <c r="E103" s="251">
        <v>145</v>
      </c>
    </row>
    <row r="104" spans="2:5" ht="12.75" hidden="1" x14ac:dyDescent="0.2">
      <c r="B104" s="251">
        <v>140</v>
      </c>
      <c r="E104" s="251">
        <v>150</v>
      </c>
    </row>
    <row r="105" spans="2:5" ht="12.75" hidden="1" x14ac:dyDescent="0.2">
      <c r="B105" s="251">
        <v>145</v>
      </c>
      <c r="E105" s="251">
        <v>155</v>
      </c>
    </row>
    <row r="106" spans="2:5" ht="12.75" hidden="1" x14ac:dyDescent="0.2">
      <c r="B106" s="251">
        <v>150</v>
      </c>
      <c r="E106" s="251">
        <v>160</v>
      </c>
    </row>
    <row r="107" spans="2:5" ht="12.75" hidden="1" x14ac:dyDescent="0.2">
      <c r="B107" s="251"/>
      <c r="E107" s="251">
        <v>165</v>
      </c>
    </row>
    <row r="108" spans="2:5" ht="12.75" hidden="1" x14ac:dyDescent="0.2">
      <c r="B108" s="244" t="s">
        <v>135</v>
      </c>
      <c r="E108" s="251">
        <v>170</v>
      </c>
    </row>
    <row r="109" spans="2:5" ht="12.75" hidden="1" x14ac:dyDescent="0.2">
      <c r="B109" s="244">
        <f>(C10/(C15/1000))/C9</f>
        <v>680.55555555555554</v>
      </c>
      <c r="E109" s="251">
        <v>175</v>
      </c>
    </row>
    <row r="110" spans="2:5" ht="12.75" hidden="1" x14ac:dyDescent="0.2">
      <c r="E110" s="251">
        <v>180</v>
      </c>
    </row>
    <row r="111" spans="2:5" ht="12.75" hidden="1" x14ac:dyDescent="0.2">
      <c r="E111" s="251">
        <v>185</v>
      </c>
    </row>
    <row r="112" spans="2:5" ht="12.75" hidden="1" x14ac:dyDescent="0.2">
      <c r="E112" s="251">
        <v>190</v>
      </c>
    </row>
    <row r="113" spans="2:5" ht="12.75" hidden="1" x14ac:dyDescent="0.2">
      <c r="B113" s="244" t="s">
        <v>136</v>
      </c>
      <c r="E113" s="251">
        <v>195</v>
      </c>
    </row>
    <row r="114" spans="2:5" ht="12.75" hidden="1" x14ac:dyDescent="0.2">
      <c r="B114" s="244" t="s">
        <v>137</v>
      </c>
      <c r="C114" s="244" t="s">
        <v>138</v>
      </c>
      <c r="E114" s="251">
        <v>200</v>
      </c>
    </row>
    <row r="115" spans="2:5" ht="12.75" hidden="1" x14ac:dyDescent="0.2">
      <c r="B115" s="244">
        <f>(C10/1.2)/4</f>
        <v>51.041666666666671</v>
      </c>
      <c r="C115" s="244">
        <f>(C10/1.2)/4</f>
        <v>51.041666666666671</v>
      </c>
    </row>
    <row r="118" spans="2:5" ht="12.75" hidden="1" x14ac:dyDescent="0.2">
      <c r="B118" s="244">
        <f>IF(C8="Алюминий",B115,C115)</f>
        <v>51.041666666666671</v>
      </c>
    </row>
    <row r="119" spans="2:5" ht="12.75" hidden="1" x14ac:dyDescent="0.2">
      <c r="E119" s="244" t="s">
        <v>139</v>
      </c>
    </row>
    <row r="120" spans="2:5" ht="12.75" hidden="1" x14ac:dyDescent="0.2">
      <c r="E120" s="244" t="s">
        <v>126</v>
      </c>
    </row>
    <row r="156" spans="1:1" ht="12.75" hidden="1" x14ac:dyDescent="0.2">
      <c r="A156" s="244" t="s">
        <v>140</v>
      </c>
    </row>
  </sheetData>
  <sheetProtection algorithmName="SHA-512" hashValue="teLyhhbF/4hKPrZHUWJSZbWvIxLa0FltStokfhQ14CFxsWbdFPnm19SAVn13WigK0ofpFCqWx2TJRdbFWeiFgQ==" saltValue="chKFawfpxOK4MIFTz0pyTQ==" spinCount="100000" sheet="1" objects="1" scenarios="1"/>
  <dataValidations count="4">
    <dataValidation type="list" allowBlank="1" showInputMessage="1" showErrorMessage="1" sqref="C5" xr:uid="{00000000-0002-0000-0600-000000000000}">
      <formula1>$B$64:$B$78</formula1>
    </dataValidation>
    <dataValidation type="list" allowBlank="1" showInputMessage="1" showErrorMessage="1" sqref="C6" xr:uid="{00000000-0002-0000-0600-000001000000}">
      <formula1>$B$81:$B$106</formula1>
    </dataValidation>
    <dataValidation type="list" allowBlank="1" showInputMessage="1" showErrorMessage="1" sqref="C7" xr:uid="{00000000-0002-0000-0600-000002000000}">
      <formula1>$E$80:$E$114</formula1>
    </dataValidation>
    <dataValidation type="list" allowBlank="1" showInputMessage="1" showErrorMessage="1" sqref="C8" xr:uid="{00000000-0002-0000-0600-000003000000}">
      <formula1>$E$119:$E$120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Оглавление</vt:lpstr>
      <vt:lpstr>Т-профиль</vt:lpstr>
      <vt:lpstr>Кассетный потолок</vt:lpstr>
      <vt:lpstr>Грильято</vt:lpstr>
      <vt:lpstr>Грильято цинк</vt:lpstr>
      <vt:lpstr>Рейка</vt:lpstr>
      <vt:lpstr>Кубота</vt:lpstr>
      <vt:lpstr>QAQKW</vt:lpstr>
      <vt:lpstr>RWNFB</vt:lpstr>
      <vt:lpstr>Грильято!Область_печати</vt:lpstr>
      <vt:lpstr>'Кассетный потолок'!Область_печати</vt:lpstr>
      <vt:lpstr>Оглавление!Область_печати</vt:lpstr>
      <vt:lpstr>Рейка!Область_печати</vt:lpstr>
      <vt:lpstr>'Т-профиль'!Область_печати</vt:lpstr>
      <vt:lpstr>ячейка</vt:lpstr>
    </vt:vector>
  </TitlesOfParts>
  <Company>terna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antoshina_o</dc:creator>
  <cp:lastModifiedBy>Алексей Кузнецов</cp:lastModifiedBy>
  <cp:revision>1</cp:revision>
  <cp:lastPrinted>2020-12-11T13:09:00Z</cp:lastPrinted>
  <dcterms:created xsi:type="dcterms:W3CDTF">2014-08-08T06:08:00Z</dcterms:created>
  <dcterms:modified xsi:type="dcterms:W3CDTF">2024-03-15T12:19:41Z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terna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27284CF1769B4D80A19379E1A25EFF7B_12</vt:lpwstr>
  </property>
  <property fmtid="{D5CDD505-2E9C-101B-9397-08002B2CF9AE}" pid="10" name="KSOProductBuildVer">
    <vt:lpwstr>1033-12.2.0.13215</vt:lpwstr>
  </property>
</Properties>
</file>